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Bakhshi Sanaye Surena\رویین\گزارشات قانونی و عملکرد\صورت وضعیت پرتفوی\1405\14050431\"/>
    </mc:Choice>
  </mc:AlternateContent>
  <xr:revisionPtr revIDLastSave="0" documentId="13_ncr:1_{23168A9F-85B0-4466-ADD9-D3BB1AE6D68C}" xr6:coauthVersionLast="47" xr6:coauthVersionMax="47" xr10:uidLastSave="{00000000-0000-0000-0000-000000000000}"/>
  <bookViews>
    <workbookView xWindow="-120" yWindow="-120" windowWidth="29040" windowHeight="15840" tabRatio="838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تعدیل قیمت" sheetId="23" r:id="rId4"/>
    <sheet name="سپرده" sheetId="7" r:id="rId5"/>
    <sheet name="سود سپرده بانکی" sheetId="18" r:id="rId6"/>
    <sheet name="درآمد" sheetId="8" r:id="rId7"/>
    <sheet name="درآمد سرمایه گذاری در سهام" sheetId="9" r:id="rId8"/>
    <sheet name="درآمد سپرده بانکی" sheetId="13" r:id="rId9"/>
    <sheet name="سایر درآمدها" sheetId="14" r:id="rId10"/>
    <sheet name="درآمد سود سهام" sheetId="15" r:id="rId11"/>
    <sheet name="درآمد ناشی از تغییر قیمت اوراق" sheetId="21" r:id="rId12"/>
    <sheet name="درآمد ناشی از فروش  " sheetId="22" r:id="rId13"/>
    <sheet name="درآمد اعمال اختیار" sheetId="20" state="hidden" r:id="rId14"/>
  </sheets>
  <definedNames>
    <definedName name="_xlnm._FilterDatabase" localSheetId="3" hidden="1">'تعدیل قیمت'!$A$1:$A$12</definedName>
    <definedName name="_xlnm._FilterDatabase" localSheetId="13" hidden="1">'درآمد اعمال اختیار'!$A$1:$A$14</definedName>
    <definedName name="_xlnm._FilterDatabase" localSheetId="7" hidden="1">'درآمد سرمایه گذاری در سهام'!$A$1:$A$37</definedName>
    <definedName name="_xlnm._FilterDatabase" localSheetId="10" hidden="1">'درآمد سود سهام'!$A$1:$A$20</definedName>
    <definedName name="_xlnm._FilterDatabase" localSheetId="11" hidden="1">'درآمد ناشی از تغییر قیمت اوراق'!$A$1:$A$29</definedName>
    <definedName name="_xlnm._FilterDatabase" localSheetId="12" hidden="1">'درآمد ناشی از فروش  '!$A$1:$A$36</definedName>
    <definedName name="_xlnm._FilterDatabase" localSheetId="1" hidden="1">سهام!$A$7:$C$34</definedName>
    <definedName name="_xlnm.Print_Area" localSheetId="2">'اوراق مشتقه'!$A$1:$AX$17</definedName>
    <definedName name="_xlnm.Print_Area" localSheetId="3">'تعدیل قیمت'!$A$1:$O$10</definedName>
    <definedName name="_xlnm.Print_Area" localSheetId="6">درآمد!$A$1:$J$11</definedName>
    <definedName name="_xlnm.Print_Area" localSheetId="13">'درآمد اعمال اختیار'!$A$1:$U$13</definedName>
    <definedName name="_xlnm.Print_Area" localSheetId="8">'درآمد سپرده بانکی'!$A$1:$K$10</definedName>
    <definedName name="_xlnm.Print_Area" localSheetId="7">'درآمد سرمایه گذاری در سهام'!$A$1:$U$34</definedName>
    <definedName name="_xlnm.Print_Area" localSheetId="10">'درآمد سود سهام'!$A$1:$T$18</definedName>
    <definedName name="_xlnm.Print_Area" localSheetId="11">'درآمد ناشی از تغییر قیمت اوراق'!$A$1:$I$28</definedName>
    <definedName name="_xlnm.Print_Area" localSheetId="12">'درآمد ناشی از فروش  '!$A$1:$T$35</definedName>
    <definedName name="_xlnm.Print_Area" localSheetId="9">'سایر درآمدها'!$A$1:$G$11</definedName>
    <definedName name="_xlnm.Print_Area" localSheetId="4">سپرده!$A$1:$L$12</definedName>
    <definedName name="_xlnm.Print_Area" localSheetId="1">سهام!$A$1:$AA$61</definedName>
    <definedName name="_xlnm.Print_Area" localSheetId="5">'سود سپرده بانکی'!$A$1:$M$11</definedName>
    <definedName name="_xlnm.Print_Area" localSheetId="0">'صورت وضعیت'!$A$1:$C$14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8" l="1"/>
  <c r="H10" i="8"/>
  <c r="H9" i="8"/>
  <c r="H8" i="8"/>
  <c r="H7" i="8"/>
  <c r="H6" i="8"/>
  <c r="J11" i="8"/>
  <c r="J10" i="8"/>
  <c r="J9" i="8"/>
  <c r="J8" i="8"/>
  <c r="J7" i="8"/>
  <c r="J6" i="8"/>
  <c r="AA30" i="2"/>
  <c r="O61" i="2"/>
  <c r="K61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1" i="2"/>
  <c r="AA32" i="2"/>
  <c r="AA9" i="2"/>
  <c r="Y61" i="2"/>
  <c r="W61" i="2"/>
  <c r="S61" i="2"/>
  <c r="O28" i="9"/>
  <c r="G27" i="9"/>
  <c r="G28" i="9"/>
  <c r="O27" i="9"/>
  <c r="R27" i="9" s="1"/>
  <c r="O26" i="9"/>
  <c r="O25" i="9"/>
  <c r="O24" i="9"/>
  <c r="R24" i="9" s="1"/>
  <c r="O23" i="9"/>
  <c r="O22" i="9"/>
  <c r="O21" i="9"/>
  <c r="R21" i="9" s="1"/>
  <c r="O20" i="9"/>
  <c r="R20" i="9" s="1"/>
  <c r="O19" i="9"/>
  <c r="R19" i="9" s="1"/>
  <c r="O18" i="9"/>
  <c r="O17" i="9"/>
  <c r="O16" i="9"/>
  <c r="R16" i="9" s="1"/>
  <c r="O15" i="9"/>
  <c r="O14" i="9"/>
  <c r="R14" i="9" s="1"/>
  <c r="O13" i="9"/>
  <c r="R13" i="9" s="1"/>
  <c r="O10" i="9"/>
  <c r="R10" i="9" s="1"/>
  <c r="O8" i="9"/>
  <c r="Q8" i="9"/>
  <c r="R9" i="9"/>
  <c r="R11" i="9"/>
  <c r="R12" i="9"/>
  <c r="R15" i="9"/>
  <c r="R17" i="9"/>
  <c r="R18" i="9"/>
  <c r="R22" i="9"/>
  <c r="R23" i="9"/>
  <c r="R25" i="9"/>
  <c r="R26" i="9"/>
  <c r="R28" i="9"/>
  <c r="R29" i="9"/>
  <c r="R30" i="9"/>
  <c r="R31" i="9"/>
  <c r="R32" i="9"/>
  <c r="R33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8" i="9"/>
  <c r="E34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0" i="9"/>
  <c r="E8" i="9"/>
  <c r="I8" i="21"/>
  <c r="I9" i="21"/>
  <c r="I10" i="21"/>
  <c r="I11" i="21"/>
  <c r="I12" i="21"/>
  <c r="I13" i="21"/>
  <c r="I14" i="21"/>
  <c r="I15" i="21"/>
  <c r="I16" i="21"/>
  <c r="I17" i="21"/>
  <c r="I18" i="21"/>
  <c r="I20" i="21"/>
  <c r="I21" i="21"/>
  <c r="I22" i="21"/>
  <c r="I23" i="21"/>
  <c r="I24" i="21"/>
  <c r="I25" i="21"/>
  <c r="I26" i="21"/>
  <c r="I27" i="21"/>
  <c r="C23" i="21"/>
  <c r="C22" i="21"/>
  <c r="C21" i="21"/>
  <c r="C11" i="21"/>
  <c r="H25" i="21"/>
  <c r="G25" i="21"/>
  <c r="F25" i="21"/>
  <c r="E25" i="21"/>
  <c r="C25" i="21"/>
  <c r="C7" i="21"/>
  <c r="C20" i="21"/>
  <c r="C18" i="21"/>
  <c r="C17" i="21"/>
  <c r="C16" i="21"/>
  <c r="C10" i="21"/>
  <c r="C9" i="21"/>
  <c r="C15" i="21"/>
  <c r="E24" i="21"/>
  <c r="F24" i="21"/>
  <c r="H24" i="21"/>
  <c r="C24" i="21"/>
  <c r="G24" i="21" s="1"/>
  <c r="C13" i="21"/>
  <c r="C14" i="21"/>
  <c r="C12" i="21"/>
  <c r="H7" i="21"/>
  <c r="G7" i="21"/>
  <c r="F7" i="21"/>
  <c r="H8" i="21"/>
  <c r="H9" i="21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6" i="21"/>
  <c r="H27" i="21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5" i="9"/>
  <c r="Q14" i="9"/>
  <c r="Q13" i="9"/>
  <c r="Q10" i="9"/>
  <c r="G29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0" i="9"/>
  <c r="G8" i="9"/>
  <c r="Q11" i="22"/>
  <c r="Q12" i="22"/>
  <c r="Q13" i="22"/>
  <c r="Q14" i="22"/>
  <c r="Q17" i="22"/>
  <c r="Q18" i="22"/>
  <c r="Q19" i="22"/>
  <c r="Q20" i="22"/>
  <c r="Q21" i="22"/>
  <c r="Q22" i="22"/>
  <c r="Q23" i="22"/>
  <c r="Q24" i="22"/>
  <c r="Q25" i="22"/>
  <c r="Q26" i="22"/>
  <c r="Q27" i="22"/>
  <c r="Q28" i="22"/>
  <c r="Q29" i="22"/>
  <c r="Q30" i="22"/>
  <c r="Q31" i="22"/>
  <c r="Q32" i="22"/>
  <c r="Q33" i="22"/>
  <c r="Q34" i="22"/>
  <c r="Q9" i="22"/>
  <c r="O10" i="22"/>
  <c r="Q10" i="22" s="1"/>
  <c r="O11" i="22"/>
  <c r="O12" i="22"/>
  <c r="O13" i="22"/>
  <c r="O14" i="22"/>
  <c r="O15" i="22"/>
  <c r="O16" i="22"/>
  <c r="O17" i="22"/>
  <c r="O18" i="22"/>
  <c r="O19" i="22"/>
  <c r="O20" i="22"/>
  <c r="O21" i="22"/>
  <c r="O22" i="22"/>
  <c r="O23" i="22"/>
  <c r="O24" i="22"/>
  <c r="O25" i="22"/>
  <c r="O26" i="22"/>
  <c r="O27" i="22"/>
  <c r="O28" i="22"/>
  <c r="O29" i="22"/>
  <c r="O30" i="22"/>
  <c r="O31" i="22"/>
  <c r="O32" i="22"/>
  <c r="O33" i="22"/>
  <c r="O34" i="22"/>
  <c r="O9" i="22"/>
  <c r="M10" i="22"/>
  <c r="M11" i="22"/>
  <c r="M12" i="22"/>
  <c r="M13" i="22"/>
  <c r="M14" i="22"/>
  <c r="M15" i="22"/>
  <c r="Q15" i="22" s="1"/>
  <c r="M16" i="22"/>
  <c r="Q16" i="22" s="1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9" i="22"/>
  <c r="K10" i="22"/>
  <c r="K11" i="22"/>
  <c r="K12" i="22"/>
  <c r="K13" i="22"/>
  <c r="K14" i="22"/>
  <c r="K15" i="22"/>
  <c r="K16" i="22"/>
  <c r="K17" i="22"/>
  <c r="K18" i="22"/>
  <c r="K19" i="22"/>
  <c r="K20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9" i="22"/>
  <c r="I30" i="22"/>
  <c r="E30" i="22"/>
  <c r="E31" i="22"/>
  <c r="E11" i="22"/>
  <c r="E29" i="22"/>
  <c r="I29" i="22" s="1"/>
  <c r="E28" i="22"/>
  <c r="I28" i="22" s="1"/>
  <c r="E27" i="22"/>
  <c r="I27" i="22" s="1"/>
  <c r="E9" i="22"/>
  <c r="I9" i="22" s="1"/>
  <c r="E26" i="22"/>
  <c r="I26" i="22" s="1"/>
  <c r="E12" i="22"/>
  <c r="I12" i="22" s="1"/>
  <c r="E25" i="22"/>
  <c r="I25" i="22" s="1"/>
  <c r="E14" i="22"/>
  <c r="I14" i="22" s="1"/>
  <c r="E24" i="22"/>
  <c r="I24" i="22" s="1"/>
  <c r="E22" i="22"/>
  <c r="I22" i="22" s="1"/>
  <c r="E23" i="22"/>
  <c r="I23" i="22" s="1"/>
  <c r="E21" i="22"/>
  <c r="I21" i="22" s="1"/>
  <c r="E20" i="22"/>
  <c r="I20" i="22" s="1"/>
  <c r="E32" i="22"/>
  <c r="E19" i="22"/>
  <c r="I19" i="22" s="1"/>
  <c r="I15" i="22"/>
  <c r="I16" i="22"/>
  <c r="I31" i="22"/>
  <c r="E18" i="22"/>
  <c r="I18" i="22" s="1"/>
  <c r="E17" i="22"/>
  <c r="I17" i="22" s="1"/>
  <c r="I34" i="9" l="1"/>
  <c r="I7" i="21"/>
  <c r="I17" i="15"/>
  <c r="K17" i="15"/>
  <c r="M17" i="15"/>
  <c r="O17" i="15"/>
  <c r="Q17" i="15"/>
  <c r="S17" i="15"/>
  <c r="M24" i="9"/>
  <c r="M23" i="9"/>
  <c r="M22" i="9"/>
  <c r="M21" i="9"/>
  <c r="M16" i="9"/>
  <c r="M15" i="9"/>
  <c r="M13" i="9"/>
  <c r="M8" i="9"/>
  <c r="C24" i="9"/>
  <c r="C23" i="9"/>
  <c r="C22" i="9"/>
  <c r="C21" i="9"/>
  <c r="C16" i="9"/>
  <c r="C15" i="9"/>
  <c r="C13" i="9"/>
  <c r="C8" i="9"/>
  <c r="M9" i="15"/>
  <c r="M8" i="15"/>
  <c r="M10" i="15"/>
  <c r="M11" i="15"/>
  <c r="M12" i="15"/>
  <c r="M13" i="15"/>
  <c r="M14" i="15"/>
  <c r="M15" i="15"/>
  <c r="M16" i="15"/>
  <c r="S8" i="15"/>
  <c r="S9" i="15"/>
  <c r="S10" i="15"/>
  <c r="S11" i="15"/>
  <c r="S12" i="15"/>
  <c r="S13" i="15"/>
  <c r="S14" i="15"/>
  <c r="S15" i="15"/>
  <c r="S16" i="15"/>
  <c r="F10" i="14"/>
  <c r="D10" i="14"/>
  <c r="C10" i="18"/>
  <c r="I10" i="18"/>
  <c r="G10" i="18"/>
  <c r="K10" i="18"/>
  <c r="E10" i="18"/>
  <c r="L11" i="7" l="1"/>
  <c r="L9" i="7"/>
  <c r="L8" i="7"/>
  <c r="L7" i="7"/>
  <c r="J8" i="7"/>
  <c r="J9" i="7"/>
  <c r="J7" i="7"/>
  <c r="G8" i="21"/>
  <c r="G9" i="21"/>
  <c r="G10" i="21"/>
  <c r="G11" i="21"/>
  <c r="G12" i="21"/>
  <c r="G13" i="21"/>
  <c r="G14" i="21"/>
  <c r="G15" i="21"/>
  <c r="G16" i="21"/>
  <c r="G17" i="21"/>
  <c r="G18" i="21"/>
  <c r="G19" i="21"/>
  <c r="I19" i="21" s="1"/>
  <c r="G20" i="21"/>
  <c r="G21" i="21"/>
  <c r="G22" i="21"/>
  <c r="G23" i="21"/>
  <c r="G26" i="21"/>
  <c r="O30" i="9" s="1"/>
  <c r="G27" i="21"/>
  <c r="O31" i="9" s="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6" i="21"/>
  <c r="F27" i="21"/>
  <c r="D34" i="9"/>
  <c r="F34" i="9"/>
  <c r="I34" i="22"/>
  <c r="G33" i="9" s="1"/>
  <c r="I33" i="22"/>
  <c r="G32" i="9" s="1"/>
  <c r="I32" i="22"/>
  <c r="G31" i="9" s="1"/>
  <c r="G30" i="9"/>
  <c r="G12" i="9"/>
  <c r="G11" i="9"/>
  <c r="I13" i="22"/>
  <c r="G9" i="9" s="1"/>
  <c r="I10" i="22"/>
  <c r="I11" i="22"/>
  <c r="C14" i="9"/>
  <c r="C34" i="9" s="1"/>
  <c r="M17" i="9"/>
  <c r="M34" i="9" s="1"/>
  <c r="I61" i="2"/>
  <c r="G61" i="2"/>
  <c r="E61" i="2"/>
  <c r="M61" i="2"/>
  <c r="Q61" i="2"/>
  <c r="E11" i="7"/>
  <c r="F11" i="7"/>
  <c r="G11" i="7"/>
  <c r="H11" i="7"/>
  <c r="I11" i="7"/>
  <c r="K11" i="7"/>
  <c r="D9" i="23"/>
  <c r="F9" i="23"/>
  <c r="H9" i="23"/>
  <c r="J9" i="23"/>
  <c r="K9" i="23"/>
  <c r="C9" i="23"/>
  <c r="L9" i="23"/>
  <c r="J10" i="7"/>
  <c r="G34" i="9" l="1"/>
  <c r="AA61" i="2"/>
  <c r="D11" i="7"/>
  <c r="J11" i="7" l="1"/>
  <c r="C28" i="21"/>
  <c r="D28" i="21"/>
  <c r="B28" i="21"/>
  <c r="E26" i="21"/>
  <c r="E8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7" i="21"/>
  <c r="E31" i="9" s="1"/>
  <c r="E7" i="21"/>
  <c r="E28" i="21" l="1"/>
  <c r="O34" i="9" l="1"/>
  <c r="Q8" i="22" l="1"/>
  <c r="Q16" i="9"/>
  <c r="R8" i="9"/>
  <c r="R34" i="9" s="1"/>
  <c r="Q9" i="9"/>
  <c r="Q11" i="9"/>
  <c r="Q12" i="9"/>
  <c r="Q31" i="9"/>
  <c r="Q32" i="9"/>
  <c r="Q33" i="9"/>
  <c r="Q7" i="22"/>
  <c r="I8" i="22"/>
  <c r="I7" i="22"/>
  <c r="E35" i="22"/>
  <c r="Q34" i="9" l="1"/>
  <c r="Q35" i="22"/>
  <c r="S7" i="15"/>
  <c r="M7" i="15" l="1"/>
  <c r="M8" i="18"/>
  <c r="H8" i="13" s="1"/>
  <c r="M9" i="18"/>
  <c r="H9" i="13" s="1"/>
  <c r="M7" i="18"/>
  <c r="G9" i="18"/>
  <c r="D9" i="13" s="1"/>
  <c r="G8" i="18"/>
  <c r="D8" i="13" s="1"/>
  <c r="H28" i="21"/>
  <c r="H7" i="13" l="1"/>
  <c r="M10" i="18"/>
  <c r="F28" i="21"/>
  <c r="U13" i="20"/>
  <c r="K13" i="20"/>
  <c r="E13" i="20"/>
  <c r="Q13" i="20"/>
  <c r="I12" i="20"/>
  <c r="N12" i="20" s="1"/>
  <c r="I10" i="20"/>
  <c r="N10" i="20" s="1"/>
  <c r="N13" i="20" l="1"/>
  <c r="S13" i="20"/>
  <c r="I13" i="20"/>
  <c r="O35" i="22" l="1"/>
  <c r="M35" i="22"/>
  <c r="K35" i="22"/>
  <c r="G35" i="22"/>
  <c r="C35" i="22"/>
  <c r="F6" i="8" l="1"/>
  <c r="I28" i="21"/>
  <c r="I35" i="22"/>
  <c r="H10" i="13" l="1"/>
  <c r="G28" i="21" l="1"/>
  <c r="F10" i="8"/>
  <c r="G7" i="18" l="1"/>
  <c r="D7" i="13" l="1"/>
  <c r="D10" i="13" s="1"/>
  <c r="F9" i="8" s="1"/>
  <c r="F11" i="8" l="1"/>
</calcChain>
</file>

<file path=xl/sharedStrings.xml><?xml version="1.0" encoding="utf-8"?>
<sst xmlns="http://schemas.openxmlformats.org/spreadsheetml/2006/main" count="395" uniqueCount="159">
  <si>
    <t>-1</t>
  </si>
  <si>
    <t>سرمایه گذاری ها</t>
  </si>
  <si>
    <t>-1-1</t>
  </si>
  <si>
    <t>سرمایه گذاری در سهام و حق تقدم سهام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</si>
  <si>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</si>
  <si>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</si>
  <si>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</si>
  <si>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</si>
  <si>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</si>
  <si>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</si>
  <si>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</si>
  <si>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</si>
  <si>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</si>
  <si>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</si>
  <si>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</si>
  <si>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</si>
  <si>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</si>
  <si>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</si>
  <si>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</si>
  <si>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</si>
  <si>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</si>
  <si>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</si>
  <si>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</si>
  <si>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</si>
  <si>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</si>
  <si>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</si>
  <si>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</si>
  <si>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فروش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</si>
  <si>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</si>
  <si>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</si>
  <si>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</si>
  <si>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</si>
  <si>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</si>
  <si>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</si>
  <si>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</si>
  <si>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</si>
  <si>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</si>
  <si>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</si>
  <si>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</si>
  <si>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</si>
  <si>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</si>
  <si>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</si>
  <si>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</si>
  <si>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</si>
  <si>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</si>
  <si>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</si>
  <si>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</si>
  <si>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</si>
  <si>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</si>
  <si>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</si>
  <si>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</si>
  <si>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</si>
  <si>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</si>
  <si>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</si>
  <si>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</si>
  <si>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</si>
  <si>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</si>
  <si>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</si>
  <si>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</si>
  <si>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</si>
  <si>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</si>
  <si>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</si>
  <si>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</si>
  <si>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</si>
  <si>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</si>
  <si>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</si>
  <si>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</si>
  <si>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</si>
  <si>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</si>
  <si>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</si>
  <si>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</si>
  <si>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</si>
  <si>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</si>
  <si>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</si>
  <si>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</si>
  <si>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</si>
  <si>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</si>
  <si>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</si>
  <si>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کارمزد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</si>
  <si>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</si>
  <si>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</si>
  <si>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</si>
  <si>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</si>
  <si>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صورت وضعیت پرتفوی</t>
  </si>
  <si>
    <t xml:space="preserve">صورت وضعیت پرتفوی </t>
  </si>
  <si>
    <t>صورت وضعیت درآمدها</t>
  </si>
  <si>
    <t xml:space="preserve">صورت وضعیت درآمدها </t>
  </si>
  <si>
    <t>2-1</t>
  </si>
  <si>
    <t>2-3</t>
  </si>
  <si>
    <t>2-4</t>
  </si>
  <si>
    <t>2-5</t>
  </si>
  <si>
    <t>2-1-درآمد حاصل از سرمایه­گذاری در سهام و حق تقدم سهام</t>
  </si>
  <si>
    <t>2-4-</t>
  </si>
  <si>
    <t>2-5-</t>
  </si>
  <si>
    <t>بهای تمام شده سهم</t>
  </si>
  <si>
    <t>مالیات اعمال</t>
  </si>
  <si>
    <t>موقعیت خرید</t>
  </si>
  <si>
    <t>1404/11/30</t>
  </si>
  <si>
    <t>برای ماه منتهی به 1404/12/29</t>
  </si>
  <si>
    <t>1404/12/29</t>
  </si>
  <si>
    <t>صندوق سرمایه گذاری بخشی صنایع سورنا- نماد امگا</t>
  </si>
  <si>
    <t>صندوق سرمایه گذاری بخشی صنایع سورنا-نماد امگا</t>
  </si>
  <si>
    <t>صندوق سرمایه گذاری بخشی صنایع سورنا- نماد  امگا</t>
  </si>
  <si>
    <t>برق و انرژی پیوندگستر پارس</t>
  </si>
  <si>
    <t>تولید برق عسلویه  مپنا</t>
  </si>
  <si>
    <t>تولید نیروی برق دماوند</t>
  </si>
  <si>
    <t>مبین انرژی خلیج فارس</t>
  </si>
  <si>
    <t>مدیریت نیروگاهی ایرانیان مپنا</t>
  </si>
  <si>
    <t>سپرده کوتاه مدت بانک گردشگری نیاوران</t>
  </si>
  <si>
    <t>قیمت پایانی</t>
  </si>
  <si>
    <t>قیمت تعدیل شده</t>
  </si>
  <si>
    <t>درصد تعدیل</t>
  </si>
  <si>
    <t>خالص ارزش فروش تعدیل شده</t>
  </si>
  <si>
    <t>سپرده کوتاه‌مدت بانک خاورمیانه نیایش</t>
  </si>
  <si>
    <t>سپرده کوتاه‌مدت بانک ملی شعبه بورس اوراق بهادار</t>
  </si>
  <si>
    <t>سپرده  کوتاه‌مدت بانک گردشگری نیاوران</t>
  </si>
  <si>
    <t>سپرده کوتاه‌مدت بانک گردشگری نیاوران</t>
  </si>
  <si>
    <t>دلیل تعدیل</t>
  </si>
  <si>
    <t>(براساس دستورالعمل نحوه تعیین قیمت خرید و فروش اوراق بهادار در صندوق‌های سرمایه‌گذاری)</t>
  </si>
  <si>
    <t>1405/03/31</t>
  </si>
  <si>
    <t>گروه مپنا</t>
  </si>
  <si>
    <t>ایران‌ ترانسفو</t>
  </si>
  <si>
    <t>موتوژن‌</t>
  </si>
  <si>
    <t>سرمایه‌گذاری‌نیرو</t>
  </si>
  <si>
    <t>توسعه مسیر برق گیلان</t>
  </si>
  <si>
    <t>نیروگاه زاگرس کوثر</t>
  </si>
  <si>
    <t>تولید نیروی برق آبادان</t>
  </si>
  <si>
    <t>شمش طلا GoldBar</t>
  </si>
  <si>
    <t>شمش نقره SilverBar</t>
  </si>
  <si>
    <t>پتروشیمی پردیس</t>
  </si>
  <si>
    <t>سیم و کابل ابهر</t>
  </si>
  <si>
    <t>گواهی تولید برق تجدیدپذیر(برقت0612)</t>
  </si>
  <si>
    <t>گواهی تولید برق تجدیدپذیر(برقت0512)</t>
  </si>
  <si>
    <t>بورس انرژی ایران</t>
  </si>
  <si>
    <t>توسعه مولد نیروگاهی جهرم</t>
  </si>
  <si>
    <t>تولید انرژی برق شمس پاسارگاد</t>
  </si>
  <si>
    <t>تولید برق ماهتاب کهنوج</t>
  </si>
  <si>
    <t>مولد نیروگاهی تجارت فارس</t>
  </si>
  <si>
    <t>مدیریت انرژی امید تابان هور</t>
  </si>
  <si>
    <t>براساس آسیب‌های جنگ و بخشنامه سازمان</t>
  </si>
  <si>
    <t>سپرده کوتاه‌مدت بانک ملی بورس اوراق بهادار</t>
  </si>
  <si>
    <t>ایران ترانسفو</t>
  </si>
  <si>
    <t>سرمایه‌گذاری نیرو</t>
  </si>
  <si>
    <t>سپرده کوتاه مدت بانک ملی بورس اوراق بهادار</t>
  </si>
  <si>
    <t>برای ماه منتهی به 1405/04/31</t>
  </si>
  <si>
    <t>1405/04/31</t>
  </si>
  <si>
    <t>تعدیل سهم مبین انرژی خلیج فارس به درصدی بیشتر از دستورالعمل تعدیل قیمت بر اساس بخشنامه سازمان و در راستای شرکت های آسیب دیده درجنگ تحمیلی صورت گرفته است.</t>
  </si>
  <si>
    <t>اوراق بهاداری که ارزش آن ها در تاریخ گزارش تعدیل شده</t>
  </si>
  <si>
    <t>1405/04/08</t>
  </si>
  <si>
    <t>1405/04/27</t>
  </si>
  <si>
    <t>1405/04/29</t>
  </si>
  <si>
    <t>1405/04/07</t>
  </si>
  <si>
    <t>1405/04/02</t>
  </si>
  <si>
    <t>1405/04/22</t>
  </si>
  <si>
    <t xml:space="preserve">	صندوق س.بخشی صنایع سورنا3</t>
  </si>
  <si>
    <t>تولید برق عسلویه مپنا</t>
  </si>
  <si>
    <t>بورس کالای ایران</t>
  </si>
  <si>
    <t xml:space="preserve">	مولد نیروگاهی تجارت فارس</t>
  </si>
  <si>
    <t>صندوق س.بخشی صنایع سورنا3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</si>
</sst>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#,##0.0"/>
    <numFmt numFmtId="167" formatCode="#,##0;[Red]#,##0"/>
    <numFmt numFmtId="168" formatCode="#,##0.00;[Red]#,##0.00"/>
  </numFmts>
  <fonts count="20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color theme="5" tint="-0.249977111117893"/>
      <name val="B Nazanin"/>
      <charset val="178"/>
    </font>
    <font>
      <sz val="12"/>
      <color theme="1"/>
      <name val="B Nazanin"/>
      <charset val="178"/>
    </font>
    <font>
      <sz val="14"/>
      <color rgb="FF000000"/>
      <name val="Arial"/>
      <family val="2"/>
    </font>
    <font>
      <b/>
      <sz val="12"/>
      <color theme="1"/>
      <name val="B Nazanin"/>
      <charset val="178"/>
    </font>
    <font>
      <sz val="13"/>
      <name val="B Nazanin"/>
      <charset val="178"/>
    </font>
    <font>
      <sz val="12"/>
      <name val="B Nazanin"/>
      <charset val="178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333333"/>
      <name val="IRANSans"/>
    </font>
    <font>
      <sz val="11"/>
      <color theme="1"/>
      <name val="B Nazanin"/>
      <charset val="178"/>
    </font>
    <font>
      <sz val="11"/>
      <color rgb="FF262626"/>
      <name val="IRANSans"/>
    </font>
    <font>
      <sz val="11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218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8" fontId="2" fillId="0" borderId="2" xfId="0" applyNumberFormat="1" applyFont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1" fillId="0" borderId="5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1" fontId="2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64" fontId="2" fillId="0" borderId="0" xfId="1" applyNumberFormat="1" applyFont="1" applyAlignment="1">
      <alignment horizontal="left"/>
    </xf>
    <xf numFmtId="3" fontId="1" fillId="0" borderId="0" xfId="0" applyNumberFormat="1" applyFont="1" applyAlignment="1">
      <alignment horizontal="center" vertical="center"/>
    </xf>
    <xf numFmtId="38" fontId="11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left"/>
    </xf>
    <xf numFmtId="38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8" fontId="1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 shrinkToFit="1" readingOrder="2"/>
    </xf>
    <xf numFmtId="165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 wrapText="1"/>
    </xf>
    <xf numFmtId="38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4" fontId="7" fillId="0" borderId="0" xfId="1" applyNumberFormat="1" applyFont="1" applyFill="1" applyAlignment="1">
      <alignment horizontal="center" vertical="center"/>
    </xf>
    <xf numFmtId="37" fontId="1" fillId="0" borderId="7" xfId="1" applyNumberFormat="1" applyFont="1" applyFill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38" fontId="2" fillId="0" borderId="0" xfId="0" applyNumberFormat="1" applyFont="1" applyAlignment="1">
      <alignment horizontal="left"/>
    </xf>
    <xf numFmtId="3" fontId="1" fillId="0" borderId="12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167" fontId="2" fillId="0" borderId="0" xfId="1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67" fontId="14" fillId="0" borderId="0" xfId="0" applyNumberFormat="1" applyFont="1" applyAlignment="1">
      <alignment horizontal="left"/>
    </xf>
    <xf numFmtId="167" fontId="16" fillId="0" borderId="0" xfId="0" applyNumberFormat="1" applyFont="1" applyAlignment="1">
      <alignment horizontal="left"/>
    </xf>
    <xf numFmtId="2" fontId="2" fillId="0" borderId="0" xfId="2" applyNumberFormat="1" applyFont="1" applyAlignment="1">
      <alignment horizontal="center" vertical="center" wrapText="1"/>
    </xf>
    <xf numFmtId="1" fontId="1" fillId="0" borderId="5" xfId="2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8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9" fontId="2" fillId="0" borderId="0" xfId="2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3" fontId="1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38" fontId="1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38" fontId="1" fillId="0" borderId="2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38" fontId="0" fillId="0" borderId="0" xfId="0" applyNumberForma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37" fontId="1" fillId="0" borderId="8" xfId="1" applyNumberFormat="1" applyFont="1" applyFill="1" applyBorder="1" applyAlignment="1">
      <alignment horizontal="center" vertical="center" wrapText="1"/>
    </xf>
    <xf numFmtId="164" fontId="1" fillId="0" borderId="8" xfId="1" applyNumberFormat="1" applyFont="1" applyFill="1" applyBorder="1" applyAlignment="1">
      <alignment horizontal="center" vertical="center" wrapText="1"/>
    </xf>
    <xf numFmtId="164" fontId="1" fillId="0" borderId="3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horizontal="right" vertical="center"/>
    </xf>
    <xf numFmtId="37" fontId="7" fillId="0" borderId="0" xfId="1" applyNumberFormat="1" applyFont="1" applyFill="1" applyBorder="1" applyAlignment="1">
      <alignment horizontal="center" vertical="center"/>
    </xf>
    <xf numFmtId="164" fontId="2" fillId="0" borderId="10" xfId="1" applyNumberFormat="1" applyFont="1" applyFill="1" applyBorder="1" applyAlignment="1">
      <alignment horizontal="center" vertical="center"/>
    </xf>
    <xf numFmtId="38" fontId="7" fillId="0" borderId="0" xfId="1" applyNumberFormat="1" applyFont="1" applyFill="1" applyAlignment="1">
      <alignment horizontal="center" vertical="center" wrapText="1"/>
    </xf>
    <xf numFmtId="37" fontId="4" fillId="0" borderId="10" xfId="1" applyNumberFormat="1" applyFont="1" applyFill="1" applyBorder="1" applyAlignment="1">
      <alignment horizontal="center" vertical="center" wrapText="1"/>
    </xf>
    <xf numFmtId="37" fontId="2" fillId="0" borderId="0" xfId="1" applyNumberFormat="1" applyFont="1" applyFill="1" applyBorder="1" applyAlignment="1">
      <alignment horizontal="center" vertical="center"/>
    </xf>
    <xf numFmtId="37" fontId="4" fillId="0" borderId="2" xfId="1" applyNumberFormat="1" applyFont="1" applyFill="1" applyBorder="1" applyAlignment="1">
      <alignment horizontal="center" vertical="center" wrapText="1"/>
    </xf>
    <xf numFmtId="37" fontId="7" fillId="0" borderId="0" xfId="1" applyNumberFormat="1" applyFont="1" applyFill="1" applyBorder="1" applyAlignment="1">
      <alignment horizontal="center" vertical="center" wrapText="1"/>
    </xf>
    <xf numFmtId="37" fontId="4" fillId="0" borderId="0" xfId="1" applyNumberFormat="1" applyFont="1" applyFill="1" applyBorder="1" applyAlignment="1">
      <alignment horizontal="center" vertical="center" wrapText="1"/>
    </xf>
    <xf numFmtId="37" fontId="4" fillId="0" borderId="0" xfId="1" applyNumberFormat="1" applyFont="1" applyFill="1" applyBorder="1" applyAlignment="1">
      <alignment horizontal="center" vertical="center"/>
    </xf>
    <xf numFmtId="164" fontId="1" fillId="0" borderId="7" xfId="1" applyNumberFormat="1" applyFont="1" applyFill="1" applyBorder="1" applyAlignment="1">
      <alignment horizontal="center" vertical="center"/>
    </xf>
    <xf numFmtId="164" fontId="5" fillId="0" borderId="7" xfId="1" applyNumberFormat="1" applyFont="1" applyFill="1" applyBorder="1" applyAlignment="1">
      <alignment horizontal="center" vertical="center"/>
    </xf>
    <xf numFmtId="37" fontId="5" fillId="0" borderId="7" xfId="1" applyNumberFormat="1" applyFont="1" applyFill="1" applyBorder="1" applyAlignment="1">
      <alignment horizontal="center" vertical="center"/>
    </xf>
    <xf numFmtId="37" fontId="2" fillId="0" borderId="0" xfId="1" applyNumberFormat="1" applyFont="1" applyFill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38" fontId="1" fillId="0" borderId="8" xfId="0" applyNumberFormat="1" applyFont="1" applyBorder="1" applyAlignment="1">
      <alignment horizontal="center" vertical="center" wrapText="1"/>
    </xf>
    <xf numFmtId="38" fontId="11" fillId="0" borderId="0" xfId="0" applyNumberFormat="1" applyFont="1" applyAlignment="1">
      <alignment horizontal="center" vertical="center"/>
    </xf>
    <xf numFmtId="38" fontId="18" fillId="0" borderId="1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/>
    </xf>
    <xf numFmtId="38" fontId="9" fillId="0" borderId="2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38" fontId="9" fillId="0" borderId="8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9" fillId="0" borderId="5" xfId="0" applyNumberFormat="1" applyFont="1" applyBorder="1" applyAlignment="1">
      <alignment horizontal="center" vertical="center"/>
    </xf>
    <xf numFmtId="38" fontId="9" fillId="0" borderId="10" xfId="0" applyNumberFormat="1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left"/>
    </xf>
    <xf numFmtId="38" fontId="11" fillId="0" borderId="1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left"/>
    </xf>
    <xf numFmtId="3" fontId="11" fillId="0" borderId="0" xfId="0" applyNumberFormat="1" applyFont="1" applyAlignment="1">
      <alignment horizontal="left"/>
    </xf>
    <xf numFmtId="38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38" fontId="18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readingOrder="2"/>
    </xf>
    <xf numFmtId="3" fontId="1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3" fontId="15" fillId="0" borderId="0" xfId="0" applyNumberFormat="1" applyFont="1"/>
    <xf numFmtId="3" fontId="15" fillId="0" borderId="0" xfId="0" applyNumberFormat="1" applyFont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left"/>
    </xf>
    <xf numFmtId="38" fontId="1" fillId="0" borderId="3" xfId="0" applyNumberFormat="1" applyFont="1" applyBorder="1" applyAlignment="1">
      <alignment horizontal="center" vertical="center"/>
    </xf>
    <xf numFmtId="167" fontId="1" fillId="0" borderId="3" xfId="0" applyNumberFormat="1" applyFont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 vertical="center"/>
    </xf>
    <xf numFmtId="167" fontId="2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167" fontId="7" fillId="0" borderId="0" xfId="1" applyNumberFormat="1" applyFont="1" applyFill="1" applyBorder="1" applyAlignment="1">
      <alignment horizontal="center" vertical="center"/>
    </xf>
    <xf numFmtId="167" fontId="2" fillId="0" borderId="0" xfId="1" applyNumberFormat="1" applyFont="1" applyFill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1" fillId="0" borderId="5" xfId="1" applyNumberFormat="1" applyFont="1" applyFill="1" applyBorder="1" applyAlignment="1">
      <alignment horizontal="center" vertical="center"/>
    </xf>
    <xf numFmtId="167" fontId="1" fillId="0" borderId="5" xfId="0" applyNumberFormat="1" applyFont="1" applyBorder="1" applyAlignment="1">
      <alignment horizontal="center" vertical="center"/>
    </xf>
    <xf numFmtId="168" fontId="1" fillId="0" borderId="5" xfId="0" applyNumberFormat="1" applyFont="1" applyBorder="1" applyAlignment="1">
      <alignment horizontal="center" vertical="center"/>
    </xf>
    <xf numFmtId="167" fontId="2" fillId="0" borderId="0" xfId="0" applyNumberFormat="1" applyFont="1" applyAlignment="1">
      <alignment horizontal="left"/>
    </xf>
    <xf numFmtId="0" fontId="18" fillId="0" borderId="0" xfId="0" applyFont="1" applyAlignment="1">
      <alignment horizontal="right" vertical="center"/>
    </xf>
    <xf numFmtId="49" fontId="18" fillId="0" borderId="0" xfId="0" applyNumberFormat="1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37" fontId="9" fillId="0" borderId="7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167" fontId="1" fillId="0" borderId="2" xfId="0" applyNumberFormat="1" applyFont="1" applyBorder="1" applyAlignment="1">
      <alignment horizontal="center" vertical="center" wrapText="1"/>
    </xf>
    <xf numFmtId="167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167" fontId="1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7" fontId="1" fillId="0" borderId="2" xfId="1" applyNumberFormat="1" applyFont="1" applyFill="1" applyBorder="1" applyAlignment="1">
      <alignment horizontal="center" vertical="center"/>
    </xf>
    <xf numFmtId="167" fontId="1" fillId="0" borderId="4" xfId="1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8" fontId="9" fillId="0" borderId="2" xfId="0" applyNumberFormat="1" applyFont="1" applyBorder="1" applyAlignment="1">
      <alignment horizontal="center" vertical="center"/>
    </xf>
    <xf numFmtId="38" fontId="9" fillId="0" borderId="4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9" fillId="0" borderId="1" xfId="0" applyFont="1" applyBorder="1" applyAlignment="1">
      <alignment horizontal="center" vertical="center"/>
    </xf>
    <xf numFmtId="164" fontId="1" fillId="0" borderId="0" xfId="1" applyNumberFormat="1" applyFont="1" applyFill="1" applyAlignment="1">
      <alignment horizontal="center" vertical="center"/>
    </xf>
    <xf numFmtId="164" fontId="18" fillId="0" borderId="0" xfId="1" applyNumberFormat="1" applyFont="1" applyFill="1" applyAlignment="1">
      <alignment horizontal="right" vertical="center"/>
    </xf>
    <xf numFmtId="164" fontId="1" fillId="0" borderId="4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C6"/>
  <sheetViews>
    <sheetView rightToLeft="1" tabSelected="1" view="pageBreakPreview" zoomScaleNormal="100" zoomScaleSheetLayoutView="100" workbookViewId="0">
      <selection activeCell="G6" sqref="G6"/>
    </sheetView>
  </sheetViews>
  <sheetFormatPr defaultRowHeight="50.1" customHeight="1"/>
  <cols>
    <col min="1" max="1" width="22.28515625" style="3" customWidth="1"/>
    <col min="2" max="2" width="44" style="3" customWidth="1"/>
    <col min="3" max="3" width="31.140625" style="3" customWidth="1"/>
  </cols>
  <sheetData>
    <row r="1" spans="1:3" s="13" customFormat="1" ht="50.1" customHeight="1"/>
    <row r="2" spans="1:3" s="13" customFormat="1" ht="50.1" customHeight="1"/>
    <row r="3" spans="1:3" s="13" customFormat="1" ht="50.1" customHeight="1"/>
    <row r="4" spans="1:3" ht="50.1" customHeight="1">
      <c r="A4" s="176" t="s">
        <v>100</v>
      </c>
      <c r="B4" s="176"/>
      <c r="C4" s="176"/>
    </row>
    <row r="5" spans="1:3" ht="50.1" customHeight="1">
      <c r="A5" s="176" t="s">
        <v>84</v>
      </c>
      <c r="B5" s="176"/>
      <c r="C5" s="176"/>
    </row>
    <row r="6" spans="1:3" ht="50.1" customHeight="1">
      <c r="A6" s="176" t="s">
        <v>144</v>
      </c>
      <c r="B6" s="176"/>
      <c r="C6" s="176"/>
    </row>
  </sheetData>
  <mergeCells count="3">
    <mergeCell ref="A6:C6"/>
    <mergeCell ref="A4:C4"/>
    <mergeCell ref="A5:C5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Q12"/>
  <sheetViews>
    <sheetView rightToLeft="1" view="pageBreakPreview" zoomScaleNormal="100" zoomScaleSheetLayoutView="100" workbookViewId="0">
      <selection activeCell="D14" sqref="D14"/>
    </sheetView>
  </sheetViews>
  <sheetFormatPr defaultRowHeight="30" customHeight="1"/>
  <cols>
    <col min="1" max="1" width="8" style="3" customWidth="1"/>
    <col min="2" max="2" width="27.7109375" style="3" customWidth="1"/>
    <col min="3" max="3" width="1.28515625" style="3" customWidth="1"/>
    <col min="4" max="4" width="19.42578125" style="3" customWidth="1"/>
    <col min="5" max="5" width="1.28515625" style="3" customWidth="1"/>
    <col min="6" max="6" width="19.42578125" style="3" customWidth="1"/>
    <col min="7" max="7" width="0.28515625" customWidth="1"/>
    <col min="10" max="10" width="10.140625" bestFit="1" customWidth="1"/>
    <col min="12" max="12" width="11" bestFit="1" customWidth="1"/>
    <col min="17" max="17" width="12.7109375" bestFit="1" customWidth="1"/>
  </cols>
  <sheetData>
    <row r="1" spans="1:17" ht="30" customHeight="1">
      <c r="A1" s="176" t="s">
        <v>100</v>
      </c>
      <c r="B1" s="176"/>
      <c r="C1" s="176"/>
      <c r="D1" s="176"/>
      <c r="E1" s="176"/>
      <c r="F1" s="176"/>
    </row>
    <row r="2" spans="1:17" ht="30" customHeight="1">
      <c r="A2" s="176" t="s">
        <v>85</v>
      </c>
      <c r="B2" s="176"/>
      <c r="C2" s="176"/>
      <c r="D2" s="176"/>
      <c r="E2" s="176"/>
      <c r="F2" s="176"/>
    </row>
    <row r="3" spans="1:17" ht="30" customHeight="1">
      <c r="A3" s="176" t="s">
        <v>144</v>
      </c>
      <c r="B3" s="176"/>
      <c r="C3" s="176"/>
      <c r="D3" s="176"/>
      <c r="E3" s="176"/>
      <c r="F3" s="176"/>
    </row>
    <row r="4" spans="1:17" s="13" customFormat="1" ht="30" customHeight="1">
      <c r="A4" s="173" t="s">
        <v>93</v>
      </c>
      <c r="B4" s="189" t="s">
        <v>47</v>
      </c>
      <c r="C4" s="189"/>
      <c r="D4" s="189"/>
      <c r="E4" s="189"/>
      <c r="F4" s="189"/>
    </row>
    <row r="5" spans="1:17" ht="30" customHeight="1">
      <c r="A5" s="176" t="s">
        <v>47</v>
      </c>
      <c r="B5" s="176"/>
      <c r="D5" s="1" t="s">
        <v>48</v>
      </c>
      <c r="F5" s="1" t="s">
        <v>49</v>
      </c>
      <c r="G5" s="17"/>
      <c r="H5" s="22"/>
    </row>
    <row r="6" spans="1:17" ht="30" customHeight="1">
      <c r="A6" s="191"/>
      <c r="B6" s="191"/>
      <c r="D6" s="2" t="s">
        <v>32</v>
      </c>
      <c r="F6" s="2" t="s">
        <v>32</v>
      </c>
    </row>
    <row r="7" spans="1:17" ht="30" customHeight="1">
      <c r="A7" s="205" t="s">
        <v>47</v>
      </c>
      <c r="B7" s="205"/>
      <c r="D7" s="24">
        <v>1581673</v>
      </c>
      <c r="F7" s="5">
        <v>1581673</v>
      </c>
      <c r="I7" s="92"/>
    </row>
    <row r="8" spans="1:17" ht="30" customHeight="1">
      <c r="A8" s="178" t="s">
        <v>58</v>
      </c>
      <c r="B8" s="178"/>
      <c r="D8" s="7">
        <v>0</v>
      </c>
      <c r="F8" s="7">
        <v>0</v>
      </c>
      <c r="I8" s="92"/>
    </row>
    <row r="9" spans="1:17" ht="30" customHeight="1">
      <c r="A9" s="178" t="s">
        <v>59</v>
      </c>
      <c r="B9" s="178"/>
      <c r="D9" s="9">
        <v>359620072</v>
      </c>
      <c r="F9" s="25">
        <v>359620072</v>
      </c>
      <c r="I9" s="92"/>
      <c r="Q9" s="23"/>
    </row>
    <row r="10" spans="1:17" ht="30" customHeight="1" thickBot="1">
      <c r="A10" s="176" t="s">
        <v>14</v>
      </c>
      <c r="B10" s="176"/>
      <c r="D10" s="21">
        <f>SUM(D7:D9)</f>
        <v>361201745</v>
      </c>
      <c r="E10" s="14"/>
      <c r="F10" s="66">
        <f>SUM(F7:F9)</f>
        <v>361201745</v>
      </c>
      <c r="I10" s="92"/>
      <c r="J10" s="23"/>
      <c r="Q10" s="23"/>
    </row>
    <row r="11" spans="1:17" ht="30" customHeight="1" thickTop="1">
      <c r="A11" s="177"/>
      <c r="B11" s="177"/>
      <c r="J11" s="23"/>
      <c r="Q11" s="23"/>
    </row>
    <row r="12" spans="1:17" ht="30" customHeight="1">
      <c r="J12" s="23"/>
    </row>
  </sheetData>
  <mergeCells count="10">
    <mergeCell ref="A1:F1"/>
    <mergeCell ref="A2:F2"/>
    <mergeCell ref="A3:F3"/>
    <mergeCell ref="B4:F4"/>
    <mergeCell ref="A5:B6"/>
    <mergeCell ref="A11:B11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V23"/>
  <sheetViews>
    <sheetView rightToLeft="1" view="pageBreakPreview" zoomScaleNormal="100" zoomScaleSheetLayoutView="100" workbookViewId="0">
      <selection activeCell="K20" sqref="K20:K24"/>
    </sheetView>
  </sheetViews>
  <sheetFormatPr defaultRowHeight="30" customHeight="1"/>
  <cols>
    <col min="1" max="1" width="22.85546875" style="3" bestFit="1" customWidth="1"/>
    <col min="2" max="2" width="1.28515625" style="3" customWidth="1"/>
    <col min="3" max="3" width="16.85546875" style="3" customWidth="1"/>
    <col min="4" max="4" width="1.28515625" style="3" customWidth="1"/>
    <col min="5" max="5" width="18.85546875" style="3" bestFit="1" customWidth="1"/>
    <col min="6" max="6" width="1.28515625" style="3" customWidth="1"/>
    <col min="7" max="7" width="15" style="3" bestFit="1" customWidth="1"/>
    <col min="8" max="8" width="1.28515625" style="3" customWidth="1"/>
    <col min="9" max="9" width="15.140625" style="3" bestFit="1" customWidth="1"/>
    <col min="10" max="10" width="1.28515625" style="3" customWidth="1"/>
    <col min="11" max="11" width="15.7109375" style="3" bestFit="1" customWidth="1"/>
    <col min="12" max="12" width="1.28515625" style="3" customWidth="1"/>
    <col min="13" max="13" width="15.5703125" style="3" customWidth="1"/>
    <col min="14" max="14" width="1.28515625" style="3" customWidth="1"/>
    <col min="15" max="15" width="19" style="3" bestFit="1" customWidth="1"/>
    <col min="16" max="16" width="1.28515625" style="3" customWidth="1"/>
    <col min="17" max="17" width="15.7109375" style="25" bestFit="1" customWidth="1"/>
    <col min="18" max="18" width="1.28515625" style="3" customWidth="1"/>
    <col min="19" max="19" width="20" style="3" bestFit="1" customWidth="1"/>
    <col min="20" max="20" width="0.28515625" style="12" customWidth="1"/>
    <col min="21" max="21" width="6.7109375" style="12" customWidth="1"/>
    <col min="22" max="22" width="14.7109375" style="12" bestFit="1" customWidth="1"/>
    <col min="23" max="16384" width="9.140625" style="12"/>
  </cols>
  <sheetData>
    <row r="1" spans="1:19" ht="30" customHeight="1">
      <c r="A1" s="176" t="s">
        <v>102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</row>
    <row r="2" spans="1:19" ht="30" customHeight="1">
      <c r="A2" s="176" t="s">
        <v>85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</row>
    <row r="3" spans="1:19" ht="30" customHeight="1">
      <c r="A3" s="176" t="s">
        <v>144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</row>
    <row r="4" spans="1:19" s="81" customFormat="1" ht="30" customHeight="1">
      <c r="A4" s="189" t="s">
        <v>51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</row>
    <row r="5" spans="1:19" ht="30" customHeight="1">
      <c r="A5" s="204" t="s">
        <v>16</v>
      </c>
      <c r="C5" s="204" t="s">
        <v>60</v>
      </c>
      <c r="D5" s="204"/>
      <c r="E5" s="204"/>
      <c r="F5" s="176"/>
      <c r="G5" s="204"/>
      <c r="I5" s="204" t="s">
        <v>48</v>
      </c>
      <c r="J5" s="204"/>
      <c r="K5" s="204"/>
      <c r="L5" s="204"/>
      <c r="M5" s="204"/>
      <c r="O5" s="204" t="s">
        <v>49</v>
      </c>
      <c r="P5" s="204"/>
      <c r="Q5" s="204"/>
      <c r="R5" s="204"/>
      <c r="S5" s="204"/>
    </row>
    <row r="6" spans="1:19" ht="42">
      <c r="A6" s="204"/>
      <c r="C6" s="11" t="s">
        <v>61</v>
      </c>
      <c r="D6" s="4"/>
      <c r="E6" s="11" t="s">
        <v>62</v>
      </c>
      <c r="G6" s="11" t="s">
        <v>63</v>
      </c>
      <c r="I6" s="11" t="s">
        <v>64</v>
      </c>
      <c r="J6" s="4"/>
      <c r="K6" s="11" t="s">
        <v>65</v>
      </c>
      <c r="L6" s="4"/>
      <c r="M6" s="11" t="s">
        <v>66</v>
      </c>
      <c r="N6" s="18"/>
      <c r="O6" s="11" t="s">
        <v>64</v>
      </c>
      <c r="P6" s="93"/>
      <c r="Q6" s="11" t="s">
        <v>65</v>
      </c>
      <c r="R6" s="93"/>
      <c r="S6" s="11" t="s">
        <v>66</v>
      </c>
    </row>
    <row r="7" spans="1:19" ht="30" customHeight="1">
      <c r="A7" s="19" t="s">
        <v>103</v>
      </c>
      <c r="C7" s="79" t="s">
        <v>148</v>
      </c>
      <c r="D7" s="82"/>
      <c r="E7" s="94">
        <v>14347146</v>
      </c>
      <c r="F7" s="82"/>
      <c r="G7" s="94">
        <v>1550</v>
      </c>
      <c r="I7" s="5">
        <v>22238076300</v>
      </c>
      <c r="K7" s="25">
        <v>-2923625736</v>
      </c>
      <c r="M7" s="7">
        <f>I7+K7</f>
        <v>19314450564</v>
      </c>
      <c r="O7" s="7">
        <v>22238076300</v>
      </c>
      <c r="Q7" s="25">
        <v>-2923625736</v>
      </c>
      <c r="S7" s="7">
        <f>O7+Q7</f>
        <v>19314450564</v>
      </c>
    </row>
    <row r="8" spans="1:19" ht="30" hidden="1" customHeight="1">
      <c r="A8" s="20" t="s">
        <v>104</v>
      </c>
      <c r="C8" s="47">
        <v>0</v>
      </c>
      <c r="D8" s="82"/>
      <c r="E8" s="48">
        <v>0</v>
      </c>
      <c r="F8" s="82"/>
      <c r="G8" s="48" t="e">
        <v>#DIV/0!</v>
      </c>
      <c r="I8" s="7"/>
      <c r="K8" s="25"/>
      <c r="M8" s="7">
        <f t="shared" ref="M8:M16" si="0">I8+K8</f>
        <v>0</v>
      </c>
      <c r="O8" s="7">
        <v>0</v>
      </c>
      <c r="Q8" s="25">
        <v>0</v>
      </c>
      <c r="S8" s="7">
        <f t="shared" ref="S8:S16" si="1">O8+Q8</f>
        <v>0</v>
      </c>
    </row>
    <row r="9" spans="1:19" ht="30" customHeight="1">
      <c r="A9" s="20" t="s">
        <v>105</v>
      </c>
      <c r="C9" s="47" t="s">
        <v>145</v>
      </c>
      <c r="D9" s="82"/>
      <c r="E9" s="48">
        <v>34965865</v>
      </c>
      <c r="F9" s="82"/>
      <c r="G9" s="48">
        <v>398</v>
      </c>
      <c r="I9" s="7">
        <v>13916414270</v>
      </c>
      <c r="K9" s="25">
        <v>-1985724408</v>
      </c>
      <c r="M9" s="7">
        <f>I9+K9</f>
        <v>11930689862</v>
      </c>
      <c r="O9" s="7">
        <v>13916414270</v>
      </c>
      <c r="Q9" s="25">
        <v>-1985724408</v>
      </c>
      <c r="S9" s="7">
        <f t="shared" si="1"/>
        <v>11930689862</v>
      </c>
    </row>
    <row r="10" spans="1:19" ht="30" customHeight="1">
      <c r="A10" s="20" t="s">
        <v>106</v>
      </c>
      <c r="C10" s="47" t="s">
        <v>149</v>
      </c>
      <c r="D10" s="82"/>
      <c r="E10" s="48">
        <v>1102489</v>
      </c>
      <c r="F10" s="82"/>
      <c r="G10" s="48">
        <v>1600</v>
      </c>
      <c r="I10" s="7">
        <v>1763982400</v>
      </c>
      <c r="K10" s="25">
        <v>-248141138</v>
      </c>
      <c r="M10" s="7">
        <f t="shared" si="0"/>
        <v>1515841262</v>
      </c>
      <c r="O10" s="7">
        <v>1763982400</v>
      </c>
      <c r="Q10" s="25">
        <v>-248141138</v>
      </c>
      <c r="S10" s="7">
        <f t="shared" si="1"/>
        <v>1515841262</v>
      </c>
    </row>
    <row r="11" spans="1:19" ht="30" hidden="1" customHeight="1">
      <c r="A11" s="20" t="s">
        <v>107</v>
      </c>
      <c r="C11" s="47"/>
      <c r="D11" s="82"/>
      <c r="E11" s="48"/>
      <c r="F11" s="82"/>
      <c r="G11" s="48" t="e">
        <v>#DIV/0!</v>
      </c>
      <c r="I11" s="7"/>
      <c r="K11" s="25"/>
      <c r="M11" s="7">
        <f t="shared" si="0"/>
        <v>0</v>
      </c>
      <c r="O11" s="7">
        <v>0</v>
      </c>
      <c r="Q11" s="25">
        <v>0</v>
      </c>
      <c r="S11" s="7">
        <f t="shared" si="1"/>
        <v>0</v>
      </c>
    </row>
    <row r="12" spans="1:19" ht="30" customHeight="1">
      <c r="A12" s="20" t="s">
        <v>125</v>
      </c>
      <c r="C12" s="47" t="s">
        <v>145</v>
      </c>
      <c r="D12" s="82"/>
      <c r="E12" s="48">
        <v>18403712</v>
      </c>
      <c r="F12" s="82"/>
      <c r="G12" s="48">
        <v>310</v>
      </c>
      <c r="I12" s="7">
        <v>5705150720</v>
      </c>
      <c r="K12" s="25">
        <v>-814064372</v>
      </c>
      <c r="M12" s="7">
        <f t="shared" si="0"/>
        <v>4891086348</v>
      </c>
      <c r="O12" s="7">
        <v>5705150720</v>
      </c>
      <c r="Q12" s="25">
        <v>-814064372</v>
      </c>
      <c r="S12" s="7">
        <f t="shared" si="1"/>
        <v>4891086348</v>
      </c>
    </row>
    <row r="13" spans="1:19" ht="30" customHeight="1">
      <c r="A13" s="20" t="s">
        <v>134</v>
      </c>
      <c r="C13" s="47" t="s">
        <v>150</v>
      </c>
      <c r="D13" s="82"/>
      <c r="E13" s="48">
        <v>9206504</v>
      </c>
      <c r="F13" s="82"/>
      <c r="G13" s="48">
        <v>100</v>
      </c>
      <c r="I13" s="7">
        <v>920650400</v>
      </c>
      <c r="K13" s="25">
        <v>-130439004</v>
      </c>
      <c r="M13" s="7">
        <f t="shared" si="0"/>
        <v>790211396</v>
      </c>
      <c r="O13" s="7">
        <v>920650400</v>
      </c>
      <c r="Q13" s="25">
        <v>-130439004</v>
      </c>
      <c r="S13" s="7">
        <f t="shared" si="1"/>
        <v>790211396</v>
      </c>
    </row>
    <row r="14" spans="1:19" ht="30" customHeight="1">
      <c r="A14" s="20" t="s">
        <v>133</v>
      </c>
      <c r="C14" s="47" t="s">
        <v>151</v>
      </c>
      <c r="D14" s="82"/>
      <c r="E14" s="48">
        <v>10464416</v>
      </c>
      <c r="F14" s="82"/>
      <c r="G14" s="48">
        <v>42</v>
      </c>
      <c r="I14" s="7">
        <v>439505472</v>
      </c>
      <c r="K14" s="25">
        <v>0</v>
      </c>
      <c r="M14" s="7">
        <f t="shared" si="0"/>
        <v>439505472</v>
      </c>
      <c r="O14" s="7">
        <v>439505472</v>
      </c>
      <c r="Q14" s="25">
        <v>0</v>
      </c>
      <c r="S14" s="7">
        <f t="shared" si="1"/>
        <v>439505472</v>
      </c>
    </row>
    <row r="15" spans="1:19" ht="30" customHeight="1">
      <c r="A15" s="20" t="s">
        <v>126</v>
      </c>
      <c r="C15" s="47" t="s">
        <v>152</v>
      </c>
      <c r="D15" s="82"/>
      <c r="E15" s="48">
        <v>1156410</v>
      </c>
      <c r="F15" s="82"/>
      <c r="G15" s="48">
        <v>252</v>
      </c>
      <c r="I15" s="7">
        <v>291415320</v>
      </c>
      <c r="K15" s="25">
        <v>-37557106</v>
      </c>
      <c r="M15" s="7">
        <f t="shared" si="0"/>
        <v>253858214</v>
      </c>
      <c r="O15" s="7">
        <v>291415320</v>
      </c>
      <c r="Q15" s="25">
        <v>-37557106</v>
      </c>
      <c r="S15" s="7">
        <f t="shared" si="1"/>
        <v>253858214</v>
      </c>
    </row>
    <row r="16" spans="1:19" ht="30" customHeight="1">
      <c r="A16" s="20" t="s">
        <v>141</v>
      </c>
      <c r="C16" s="47" t="s">
        <v>153</v>
      </c>
      <c r="D16" s="82"/>
      <c r="E16" s="48">
        <v>54006699</v>
      </c>
      <c r="F16" s="82"/>
      <c r="G16" s="48">
        <v>210</v>
      </c>
      <c r="I16" s="7">
        <v>11341406790</v>
      </c>
      <c r="K16" s="25">
        <v>-1566640607</v>
      </c>
      <c r="M16" s="7">
        <f t="shared" si="0"/>
        <v>9774766183</v>
      </c>
      <c r="O16" s="7">
        <v>11341406790</v>
      </c>
      <c r="Q16" s="25">
        <v>-1566640607</v>
      </c>
      <c r="S16" s="7">
        <f t="shared" si="1"/>
        <v>9774766183</v>
      </c>
    </row>
    <row r="17" spans="1:22" ht="30" customHeight="1" thickBot="1">
      <c r="A17" s="14" t="s">
        <v>14</v>
      </c>
      <c r="C17" s="7"/>
      <c r="E17" s="7"/>
      <c r="G17" s="7"/>
      <c r="I17" s="85">
        <f>SUM(I7:I16)</f>
        <v>56616601672</v>
      </c>
      <c r="J17" s="14"/>
      <c r="K17" s="66">
        <f>SUM(K7:K16)</f>
        <v>-7706192371</v>
      </c>
      <c r="L17" s="14"/>
      <c r="M17" s="85">
        <f>SUM(M7:M16)</f>
        <v>48910409301</v>
      </c>
      <c r="N17" s="14"/>
      <c r="O17" s="85">
        <f>SUM(O7:O16)</f>
        <v>56616601672</v>
      </c>
      <c r="P17" s="14"/>
      <c r="Q17" s="66">
        <f>SUM(Q7:Q16)</f>
        <v>-7706192371</v>
      </c>
      <c r="R17" s="14"/>
      <c r="S17" s="85">
        <f>SUM(S7:S16)</f>
        <v>48910409301</v>
      </c>
    </row>
    <row r="18" spans="1:22" ht="30" customHeight="1" thickTop="1"/>
    <row r="19" spans="1:22" ht="30" customHeight="1">
      <c r="O19" s="59"/>
    </row>
    <row r="20" spans="1:22" ht="30" customHeight="1">
      <c r="O20" s="87"/>
      <c r="V20" s="27"/>
    </row>
    <row r="21" spans="1:22" ht="30" customHeight="1">
      <c r="K21" s="7"/>
    </row>
    <row r="22" spans="1:22" ht="30" customHeight="1">
      <c r="K22" s="7"/>
    </row>
    <row r="23" spans="1:22" ht="30" customHeight="1">
      <c r="K23" s="7"/>
    </row>
  </sheetData>
  <autoFilter ref="A1:A20" xr:uid="{00000000-0001-0000-0E00-000000000000}"/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7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/>
    <pageSetUpPr fitToPage="1"/>
  </sheetPr>
  <dimension ref="A1:M34"/>
  <sheetViews>
    <sheetView rightToLeft="1" view="pageBreakPreview" zoomScaleNormal="100" zoomScaleSheetLayoutView="100" workbookViewId="0">
      <selection activeCell="J15" sqref="J15"/>
    </sheetView>
  </sheetViews>
  <sheetFormatPr defaultRowHeight="30" customHeight="1"/>
  <cols>
    <col min="1" max="1" width="31.140625" style="3" bestFit="1" customWidth="1"/>
    <col min="2" max="2" width="12.7109375" style="3" bestFit="1" customWidth="1"/>
    <col min="3" max="3" width="19.42578125" style="3" bestFit="1" customWidth="1"/>
    <col min="4" max="4" width="19.140625" style="25" bestFit="1" customWidth="1"/>
    <col min="5" max="5" width="19.5703125" style="117" customWidth="1"/>
    <col min="6" max="6" width="12.7109375" style="3" bestFit="1" customWidth="1"/>
    <col min="7" max="7" width="19.42578125" style="3" bestFit="1" customWidth="1"/>
    <col min="8" max="8" width="19.140625" style="25" bestFit="1" customWidth="1"/>
    <col min="9" max="9" width="20.85546875" style="25" customWidth="1"/>
    <col min="10" max="10" width="9.140625" style="12"/>
    <col min="11" max="12" width="15.85546875" style="12" bestFit="1" customWidth="1"/>
    <col min="13" max="16384" width="9.140625" style="12"/>
  </cols>
  <sheetData>
    <row r="1" spans="1:11" ht="30" customHeight="1">
      <c r="A1" s="176" t="s">
        <v>100</v>
      </c>
      <c r="B1" s="176"/>
      <c r="C1" s="176"/>
      <c r="D1" s="176"/>
      <c r="E1" s="176"/>
      <c r="F1" s="176"/>
      <c r="G1" s="176"/>
      <c r="H1" s="176"/>
      <c r="I1" s="176"/>
    </row>
    <row r="2" spans="1:11" ht="30" customHeight="1">
      <c r="A2" s="176" t="s">
        <v>85</v>
      </c>
      <c r="B2" s="176"/>
      <c r="C2" s="176"/>
      <c r="D2" s="176"/>
      <c r="E2" s="176"/>
      <c r="F2" s="176"/>
      <c r="G2" s="176"/>
      <c r="H2" s="176"/>
      <c r="I2" s="176"/>
    </row>
    <row r="3" spans="1:11" ht="30" customHeight="1">
      <c r="A3" s="176" t="s">
        <v>144</v>
      </c>
      <c r="B3" s="176"/>
      <c r="C3" s="176"/>
      <c r="D3" s="176"/>
      <c r="E3" s="176"/>
      <c r="F3" s="176"/>
      <c r="G3" s="176"/>
      <c r="H3" s="176"/>
      <c r="I3" s="176"/>
    </row>
    <row r="4" spans="1:11" s="145" customFormat="1" ht="30" customHeight="1">
      <c r="A4" s="189" t="s">
        <v>81</v>
      </c>
      <c r="B4" s="189"/>
      <c r="C4" s="189"/>
      <c r="D4" s="189"/>
      <c r="E4" s="189"/>
      <c r="F4" s="189"/>
      <c r="G4" s="189"/>
      <c r="H4" s="189"/>
      <c r="I4" s="189"/>
    </row>
    <row r="5" spans="1:11" s="145" customFormat="1" ht="30" customHeight="1">
      <c r="A5" s="204" t="s">
        <v>38</v>
      </c>
      <c r="B5" s="204" t="s">
        <v>48</v>
      </c>
      <c r="C5" s="204"/>
      <c r="D5" s="204"/>
      <c r="E5" s="204"/>
      <c r="F5" s="204" t="s">
        <v>49</v>
      </c>
      <c r="G5" s="204"/>
      <c r="H5" s="204"/>
      <c r="I5" s="204"/>
    </row>
    <row r="6" spans="1:11" s="145" customFormat="1" ht="40.5" customHeight="1">
      <c r="A6" s="204"/>
      <c r="B6" s="54" t="s">
        <v>8</v>
      </c>
      <c r="C6" s="54" t="s">
        <v>10</v>
      </c>
      <c r="D6" s="116" t="s">
        <v>72</v>
      </c>
      <c r="E6" s="116" t="s">
        <v>82</v>
      </c>
      <c r="F6" s="11" t="s">
        <v>8</v>
      </c>
      <c r="G6" s="11" t="s">
        <v>10</v>
      </c>
      <c r="H6" s="55" t="s">
        <v>72</v>
      </c>
      <c r="I6" s="55" t="s">
        <v>82</v>
      </c>
    </row>
    <row r="7" spans="1:11" s="145" customFormat="1" ht="30" customHeight="1">
      <c r="A7" s="114" t="s">
        <v>103</v>
      </c>
      <c r="B7" s="7">
        <v>12804485</v>
      </c>
      <c r="C7" s="7">
        <f>167610708650-457577235-838053543</f>
        <v>166315077872</v>
      </c>
      <c r="D7" s="117">
        <v>-205961060339</v>
      </c>
      <c r="E7" s="117">
        <f>C7+D7</f>
        <v>-39645982467</v>
      </c>
      <c r="F7" s="7">
        <f>B7</f>
        <v>12804485</v>
      </c>
      <c r="G7" s="7">
        <f>C7</f>
        <v>166315077872</v>
      </c>
      <c r="H7" s="117">
        <f>D7</f>
        <v>-205961060339</v>
      </c>
      <c r="I7" s="25">
        <f>G7+H7</f>
        <v>-39645982467</v>
      </c>
    </row>
    <row r="8" spans="1:11" s="145" customFormat="1" ht="30" hidden="1" customHeight="1">
      <c r="A8" s="115" t="s">
        <v>104</v>
      </c>
      <c r="B8" s="7"/>
      <c r="C8" s="7"/>
      <c r="D8" s="117"/>
      <c r="E8" s="117">
        <f t="shared" ref="E8:E27" si="0">C8+D8</f>
        <v>0</v>
      </c>
      <c r="F8" s="7">
        <f t="shared" ref="F8:F27" si="1">B8</f>
        <v>0</v>
      </c>
      <c r="G8" s="7">
        <f t="shared" ref="G8:G27" si="2">C8</f>
        <v>0</v>
      </c>
      <c r="H8" s="117">
        <f t="shared" ref="H8:H27" si="3">D8</f>
        <v>0</v>
      </c>
      <c r="I8" s="25">
        <f t="shared" ref="I8:I27" si="4">G8+H8</f>
        <v>0</v>
      </c>
    </row>
    <row r="9" spans="1:11" s="145" customFormat="1" ht="30" customHeight="1">
      <c r="A9" s="115" t="s">
        <v>105</v>
      </c>
      <c r="B9" s="7">
        <v>34965865</v>
      </c>
      <c r="C9" s="7">
        <f>347630629830-949031619-1738153149</f>
        <v>344943445062</v>
      </c>
      <c r="D9" s="117">
        <v>-339932065723</v>
      </c>
      <c r="E9" s="117">
        <f t="shared" si="0"/>
        <v>5011379339</v>
      </c>
      <c r="F9" s="7">
        <f t="shared" si="1"/>
        <v>34965865</v>
      </c>
      <c r="G9" s="7">
        <f t="shared" si="2"/>
        <v>344943445062</v>
      </c>
      <c r="H9" s="117">
        <f t="shared" si="3"/>
        <v>-339932065723</v>
      </c>
      <c r="I9" s="25">
        <f t="shared" si="4"/>
        <v>5011379339</v>
      </c>
    </row>
    <row r="10" spans="1:11" s="145" customFormat="1" ht="30" customHeight="1">
      <c r="A10" s="115" t="s">
        <v>106</v>
      </c>
      <c r="B10" s="7">
        <v>1102489</v>
      </c>
      <c r="C10" s="7">
        <f>10233302898-27936917-51166514</f>
        <v>10154199467</v>
      </c>
      <c r="D10" s="117">
        <v>-11379442237</v>
      </c>
      <c r="E10" s="117">
        <f t="shared" si="0"/>
        <v>-1225242770</v>
      </c>
      <c r="F10" s="7">
        <f t="shared" si="1"/>
        <v>1102489</v>
      </c>
      <c r="G10" s="7">
        <f t="shared" si="2"/>
        <v>10154199467</v>
      </c>
      <c r="H10" s="117">
        <f t="shared" si="3"/>
        <v>-11379442237</v>
      </c>
      <c r="I10" s="25">
        <f t="shared" si="4"/>
        <v>-1225242770</v>
      </c>
    </row>
    <row r="11" spans="1:11" s="145" customFormat="1" ht="30" customHeight="1">
      <c r="A11" s="115" t="s">
        <v>107</v>
      </c>
      <c r="B11" s="7">
        <v>27992550</v>
      </c>
      <c r="C11" s="7">
        <f>771194752500-2105361674-3855973763</f>
        <v>765233417063</v>
      </c>
      <c r="D11" s="117">
        <v>-741741524209</v>
      </c>
      <c r="E11" s="117">
        <f t="shared" si="0"/>
        <v>23491892854</v>
      </c>
      <c r="F11" s="7">
        <f t="shared" si="1"/>
        <v>27992550</v>
      </c>
      <c r="G11" s="7">
        <f t="shared" si="2"/>
        <v>765233417063</v>
      </c>
      <c r="H11" s="117">
        <f t="shared" si="3"/>
        <v>-741741524209</v>
      </c>
      <c r="I11" s="25">
        <f t="shared" si="4"/>
        <v>23491892854</v>
      </c>
    </row>
    <row r="12" spans="1:11" s="145" customFormat="1" ht="30" customHeight="1">
      <c r="A12" s="20" t="s">
        <v>120</v>
      </c>
      <c r="B12" s="117">
        <v>9259938</v>
      </c>
      <c r="C12" s="117">
        <f>192236312880-524805134-961181564</f>
        <v>190750326182</v>
      </c>
      <c r="D12" s="117">
        <v>-172102002725</v>
      </c>
      <c r="E12" s="117">
        <f t="shared" si="0"/>
        <v>18648323457</v>
      </c>
      <c r="F12" s="7">
        <f t="shared" si="1"/>
        <v>9259938</v>
      </c>
      <c r="G12" s="7">
        <f t="shared" si="2"/>
        <v>190750326182</v>
      </c>
      <c r="H12" s="117">
        <f t="shared" si="3"/>
        <v>-172102002725</v>
      </c>
      <c r="I12" s="25">
        <f t="shared" si="4"/>
        <v>18648323457</v>
      </c>
      <c r="K12" s="49"/>
    </row>
    <row r="13" spans="1:11" s="145" customFormat="1" ht="30" customHeight="1">
      <c r="A13" s="20" t="s">
        <v>141</v>
      </c>
      <c r="B13" s="117">
        <v>41506699</v>
      </c>
      <c r="C13" s="117">
        <f>115679170113-315804134-578395851</f>
        <v>114784970128</v>
      </c>
      <c r="D13" s="117">
        <v>-123392813265</v>
      </c>
      <c r="E13" s="117">
        <f t="shared" si="0"/>
        <v>-8607843137</v>
      </c>
      <c r="F13" s="7">
        <f t="shared" si="1"/>
        <v>41506699</v>
      </c>
      <c r="G13" s="7">
        <f t="shared" si="2"/>
        <v>114784970128</v>
      </c>
      <c r="H13" s="117">
        <f t="shared" si="3"/>
        <v>-123392813265</v>
      </c>
      <c r="I13" s="25">
        <f t="shared" si="4"/>
        <v>-8607843137</v>
      </c>
      <c r="K13" s="49"/>
    </row>
    <row r="14" spans="1:11" s="145" customFormat="1" ht="30" customHeight="1">
      <c r="A14" s="20" t="s">
        <v>142</v>
      </c>
      <c r="B14" s="117">
        <v>24835592</v>
      </c>
      <c r="C14" s="117">
        <f>57618573440-157298705-288092867</f>
        <v>57173181868</v>
      </c>
      <c r="D14" s="117">
        <v>-72895806880</v>
      </c>
      <c r="E14" s="117">
        <f t="shared" si="0"/>
        <v>-15722625012</v>
      </c>
      <c r="F14" s="7">
        <f t="shared" si="1"/>
        <v>24835592</v>
      </c>
      <c r="G14" s="7">
        <f t="shared" si="2"/>
        <v>57173181868</v>
      </c>
      <c r="H14" s="117">
        <f t="shared" si="3"/>
        <v>-72895806880</v>
      </c>
      <c r="I14" s="25">
        <f t="shared" si="4"/>
        <v>-15722625012</v>
      </c>
      <c r="K14" s="49"/>
    </row>
    <row r="15" spans="1:11" s="145" customFormat="1" ht="30" customHeight="1">
      <c r="A15" s="20" t="s">
        <v>138</v>
      </c>
      <c r="B15" s="117">
        <v>53725087</v>
      </c>
      <c r="C15" s="117">
        <f>105892146477-289085560-529460732</f>
        <v>105073600185</v>
      </c>
      <c r="D15" s="117">
        <v>-108094756762</v>
      </c>
      <c r="E15" s="117">
        <f t="shared" si="0"/>
        <v>-3021156577</v>
      </c>
      <c r="F15" s="7">
        <f t="shared" si="1"/>
        <v>53725087</v>
      </c>
      <c r="G15" s="7">
        <f t="shared" si="2"/>
        <v>105073600185</v>
      </c>
      <c r="H15" s="117">
        <f t="shared" si="3"/>
        <v>-108094756762</v>
      </c>
      <c r="I15" s="25">
        <f t="shared" si="4"/>
        <v>-3021156577</v>
      </c>
    </row>
    <row r="16" spans="1:11" s="145" customFormat="1" ht="30" customHeight="1">
      <c r="A16" s="20" t="s">
        <v>124</v>
      </c>
      <c r="B16" s="117">
        <v>5187877</v>
      </c>
      <c r="C16" s="117">
        <f>108167235450-295296553-540836177</f>
        <v>107331102720</v>
      </c>
      <c r="D16" s="117">
        <v>-100973293406</v>
      </c>
      <c r="E16" s="117">
        <f t="shared" si="0"/>
        <v>6357809314</v>
      </c>
      <c r="F16" s="7">
        <f t="shared" si="1"/>
        <v>5187877</v>
      </c>
      <c r="G16" s="7">
        <f t="shared" si="2"/>
        <v>107331102720</v>
      </c>
      <c r="H16" s="117">
        <f t="shared" si="3"/>
        <v>-100973293406</v>
      </c>
      <c r="I16" s="25">
        <f t="shared" si="4"/>
        <v>6357809314</v>
      </c>
    </row>
    <row r="17" spans="1:13" s="145" customFormat="1" ht="30" customHeight="1">
      <c r="A17" s="20" t="s">
        <v>125</v>
      </c>
      <c r="B17" s="117">
        <v>18403712</v>
      </c>
      <c r="C17" s="117">
        <f>91834522880-250708247-459172614</f>
        <v>91124642019</v>
      </c>
      <c r="D17" s="117">
        <v>-107529009919</v>
      </c>
      <c r="E17" s="117">
        <f t="shared" si="0"/>
        <v>-16404367900</v>
      </c>
      <c r="F17" s="7">
        <f t="shared" si="1"/>
        <v>18403712</v>
      </c>
      <c r="G17" s="7">
        <f t="shared" si="2"/>
        <v>91124642019</v>
      </c>
      <c r="H17" s="117">
        <f t="shared" si="3"/>
        <v>-107529009919</v>
      </c>
      <c r="I17" s="25">
        <f t="shared" si="4"/>
        <v>-16404367900</v>
      </c>
    </row>
    <row r="18" spans="1:13" s="145" customFormat="1" ht="30" customHeight="1">
      <c r="A18" s="20" t="s">
        <v>134</v>
      </c>
      <c r="B18" s="117">
        <v>9206504</v>
      </c>
      <c r="C18" s="117">
        <f>20990829120-57304963-104954146</f>
        <v>20828570011</v>
      </c>
      <c r="D18" s="117">
        <v>-21884669375</v>
      </c>
      <c r="E18" s="117">
        <f t="shared" si="0"/>
        <v>-1056099364</v>
      </c>
      <c r="F18" s="7">
        <f t="shared" si="1"/>
        <v>9206504</v>
      </c>
      <c r="G18" s="7">
        <f t="shared" si="2"/>
        <v>20828570011</v>
      </c>
      <c r="H18" s="117">
        <f t="shared" si="3"/>
        <v>-21884669375</v>
      </c>
      <c r="I18" s="25">
        <f t="shared" si="4"/>
        <v>-1056099364</v>
      </c>
    </row>
    <row r="19" spans="1:13" s="145" customFormat="1" ht="30" hidden="1" customHeight="1">
      <c r="A19" s="20" t="s">
        <v>126</v>
      </c>
      <c r="B19" s="117"/>
      <c r="C19" s="117"/>
      <c r="D19" s="117"/>
      <c r="E19" s="117">
        <f t="shared" si="0"/>
        <v>0</v>
      </c>
      <c r="F19" s="7">
        <f t="shared" si="1"/>
        <v>0</v>
      </c>
      <c r="G19" s="7">
        <f t="shared" si="2"/>
        <v>0</v>
      </c>
      <c r="H19" s="117">
        <f t="shared" si="3"/>
        <v>0</v>
      </c>
      <c r="I19" s="25">
        <f t="shared" si="4"/>
        <v>0</v>
      </c>
    </row>
    <row r="20" spans="1:13" s="145" customFormat="1" ht="30" customHeight="1">
      <c r="A20" s="20" t="s">
        <v>133</v>
      </c>
      <c r="B20" s="117">
        <v>5746963</v>
      </c>
      <c r="C20" s="117">
        <f>105571710310-288210769-527858552</f>
        <v>104755640989</v>
      </c>
      <c r="D20" s="117">
        <v>-99715943879</v>
      </c>
      <c r="E20" s="117">
        <f t="shared" si="0"/>
        <v>5039697110</v>
      </c>
      <c r="F20" s="7">
        <f t="shared" si="1"/>
        <v>5746963</v>
      </c>
      <c r="G20" s="7">
        <f t="shared" si="2"/>
        <v>104755640989</v>
      </c>
      <c r="H20" s="117">
        <f t="shared" si="3"/>
        <v>-99715943879</v>
      </c>
      <c r="I20" s="25">
        <f t="shared" si="4"/>
        <v>5039697110</v>
      </c>
    </row>
    <row r="21" spans="1:13" s="145" customFormat="1" ht="30" customHeight="1">
      <c r="A21" s="20" t="s">
        <v>137</v>
      </c>
      <c r="B21" s="117">
        <v>25631620</v>
      </c>
      <c r="C21" s="117">
        <f>173526067400-473726164-867630337</f>
        <v>172184710899</v>
      </c>
      <c r="D21" s="117">
        <v>-144566033396</v>
      </c>
      <c r="E21" s="117">
        <f t="shared" si="0"/>
        <v>27618677503</v>
      </c>
      <c r="F21" s="7">
        <f t="shared" si="1"/>
        <v>25631620</v>
      </c>
      <c r="G21" s="7">
        <f t="shared" si="2"/>
        <v>172184710899</v>
      </c>
      <c r="H21" s="117">
        <f t="shared" si="3"/>
        <v>-144566033396</v>
      </c>
      <c r="I21" s="25">
        <f t="shared" si="4"/>
        <v>27618677503</v>
      </c>
    </row>
    <row r="22" spans="1:13" s="145" customFormat="1" ht="30" customHeight="1">
      <c r="A22" s="20" t="s">
        <v>135</v>
      </c>
      <c r="B22" s="117">
        <v>6259760</v>
      </c>
      <c r="C22" s="117">
        <f>62222014400-169866099-311110072</f>
        <v>61741038229</v>
      </c>
      <c r="D22" s="117">
        <v>-42796353469</v>
      </c>
      <c r="E22" s="117">
        <f t="shared" si="0"/>
        <v>18944684760</v>
      </c>
      <c r="F22" s="7">
        <f t="shared" si="1"/>
        <v>6259760</v>
      </c>
      <c r="G22" s="7">
        <f t="shared" si="2"/>
        <v>61741038229</v>
      </c>
      <c r="H22" s="117">
        <f t="shared" si="3"/>
        <v>-42796353469</v>
      </c>
      <c r="I22" s="25">
        <f t="shared" si="4"/>
        <v>18944684760</v>
      </c>
    </row>
    <row r="23" spans="1:13" s="145" customFormat="1" ht="30" customHeight="1">
      <c r="A23" s="20" t="s">
        <v>136</v>
      </c>
      <c r="B23" s="117">
        <v>7706821</v>
      </c>
      <c r="C23" s="117">
        <f>7452495907-20345314-37262480</f>
        <v>7394888113</v>
      </c>
      <c r="D23" s="117">
        <v>-7142528951</v>
      </c>
      <c r="E23" s="117">
        <f t="shared" si="0"/>
        <v>252359162</v>
      </c>
      <c r="F23" s="7">
        <f t="shared" si="1"/>
        <v>7706821</v>
      </c>
      <c r="G23" s="7">
        <f t="shared" si="2"/>
        <v>7394888113</v>
      </c>
      <c r="H23" s="117">
        <f t="shared" si="3"/>
        <v>-7142528951</v>
      </c>
      <c r="I23" s="25">
        <f t="shared" si="4"/>
        <v>252359162</v>
      </c>
      <c r="M23" s="117"/>
    </row>
    <row r="24" spans="1:13" s="145" customFormat="1" ht="30" customHeight="1">
      <c r="A24" s="20" t="s">
        <v>155</v>
      </c>
      <c r="B24" s="117">
        <v>32848302</v>
      </c>
      <c r="C24" s="117">
        <f>150773706180-411612218-753868531</f>
        <v>149608225431</v>
      </c>
      <c r="D24" s="117">
        <v>-166231361586</v>
      </c>
      <c r="E24" s="117">
        <f t="shared" si="0"/>
        <v>-16623136155</v>
      </c>
      <c r="F24" s="7">
        <f t="shared" si="1"/>
        <v>32848302</v>
      </c>
      <c r="G24" s="7">
        <f t="shared" si="2"/>
        <v>149608225431</v>
      </c>
      <c r="H24" s="117">
        <f t="shared" si="3"/>
        <v>-166231361586</v>
      </c>
      <c r="I24" s="25">
        <f t="shared" si="4"/>
        <v>-16623136155</v>
      </c>
      <c r="M24" s="117"/>
    </row>
    <row r="25" spans="1:13" s="145" customFormat="1" ht="30" customHeight="1">
      <c r="A25" s="20" t="s">
        <v>156</v>
      </c>
      <c r="B25" s="117">
        <v>6021823</v>
      </c>
      <c r="C25" s="117">
        <f>49619821520-135462113-248099108</f>
        <v>49236260299</v>
      </c>
      <c r="D25" s="117">
        <v>-48810853290</v>
      </c>
      <c r="E25" s="117">
        <f t="shared" si="0"/>
        <v>425407009</v>
      </c>
      <c r="F25" s="7">
        <f t="shared" si="1"/>
        <v>6021823</v>
      </c>
      <c r="G25" s="7">
        <f t="shared" si="2"/>
        <v>49236260299</v>
      </c>
      <c r="H25" s="117">
        <f t="shared" si="3"/>
        <v>-48810853290</v>
      </c>
      <c r="I25" s="25">
        <f t="shared" si="4"/>
        <v>425407009</v>
      </c>
      <c r="M25" s="117"/>
    </row>
    <row r="26" spans="1:13" s="145" customFormat="1" ht="30" hidden="1" customHeight="1">
      <c r="A26" s="113" t="s">
        <v>131</v>
      </c>
      <c r="B26" s="117">
        <v>0</v>
      </c>
      <c r="C26" s="117">
        <v>0</v>
      </c>
      <c r="D26" s="117">
        <v>0</v>
      </c>
      <c r="E26" s="117">
        <f>C26+D26</f>
        <v>0</v>
      </c>
      <c r="F26" s="7">
        <f t="shared" si="1"/>
        <v>0</v>
      </c>
      <c r="G26" s="7">
        <f t="shared" si="2"/>
        <v>0</v>
      </c>
      <c r="H26" s="117">
        <f t="shared" si="3"/>
        <v>0</v>
      </c>
      <c r="I26" s="25">
        <f t="shared" si="4"/>
        <v>0</v>
      </c>
      <c r="K26" s="146"/>
    </row>
    <row r="27" spans="1:13" s="145" customFormat="1" ht="30" hidden="1" customHeight="1">
      <c r="A27" s="113" t="s">
        <v>132</v>
      </c>
      <c r="B27" s="117">
        <v>0</v>
      </c>
      <c r="C27" s="117">
        <v>0</v>
      </c>
      <c r="D27" s="117">
        <v>0</v>
      </c>
      <c r="E27" s="117">
        <f t="shared" si="0"/>
        <v>0</v>
      </c>
      <c r="F27" s="7">
        <f t="shared" si="1"/>
        <v>0</v>
      </c>
      <c r="G27" s="7">
        <f t="shared" si="2"/>
        <v>0</v>
      </c>
      <c r="H27" s="117">
        <f t="shared" si="3"/>
        <v>0</v>
      </c>
      <c r="I27" s="25">
        <f t="shared" si="4"/>
        <v>0</v>
      </c>
      <c r="K27" s="146"/>
      <c r="L27" s="146"/>
    </row>
    <row r="28" spans="1:13" s="148" customFormat="1" ht="30" customHeight="1" thickBot="1">
      <c r="A28" s="14" t="s">
        <v>14</v>
      </c>
      <c r="B28" s="147">
        <f t="shared" ref="B28:I28" si="5">SUM(B7:B27)</f>
        <v>323206087</v>
      </c>
      <c r="C28" s="147">
        <f t="shared" si="5"/>
        <v>2518633296537</v>
      </c>
      <c r="D28" s="118">
        <f t="shared" si="5"/>
        <v>-2515149519411</v>
      </c>
      <c r="E28" s="118">
        <f t="shared" si="5"/>
        <v>3483777126</v>
      </c>
      <c r="F28" s="21">
        <f t="shared" si="5"/>
        <v>323206087</v>
      </c>
      <c r="G28" s="21">
        <f t="shared" si="5"/>
        <v>2518633296537</v>
      </c>
      <c r="H28" s="26">
        <f>SUM(H7:H27)</f>
        <v>-2515149519411</v>
      </c>
      <c r="I28" s="26">
        <f t="shared" si="5"/>
        <v>3483777126</v>
      </c>
    </row>
    <row r="29" spans="1:13" ht="30" customHeight="1" thickTop="1">
      <c r="A29" s="149"/>
      <c r="B29" s="25"/>
    </row>
    <row r="30" spans="1:13" ht="30" customHeight="1">
      <c r="B30" s="48"/>
      <c r="C30" s="23"/>
      <c r="F30" s="7"/>
    </row>
    <row r="31" spans="1:13" ht="30" customHeight="1">
      <c r="B31" s="7"/>
      <c r="C31" s="7"/>
      <c r="E31" s="150"/>
      <c r="F31" s="7"/>
    </row>
    <row r="32" spans="1:13" ht="30" customHeight="1">
      <c r="C32" s="7"/>
    </row>
    <row r="33" spans="3:3" ht="30" customHeight="1">
      <c r="C33" s="25"/>
    </row>
    <row r="34" spans="3:3" ht="30" customHeight="1">
      <c r="C34" s="25"/>
    </row>
  </sheetData>
  <autoFilter ref="A1:A29" xr:uid="{00000000-0001-0000-1400-000000000000}"/>
  <mergeCells count="7">
    <mergeCell ref="A1:I1"/>
    <mergeCell ref="A2:I2"/>
    <mergeCell ref="A3:I3"/>
    <mergeCell ref="A4:I4"/>
    <mergeCell ref="A5:A6"/>
    <mergeCell ref="B5:E5"/>
    <mergeCell ref="F5:I5"/>
  </mergeCells>
  <pageMargins left="0.39" right="0.39" top="0.39" bottom="0.39" header="0" footer="0"/>
  <pageSetup scale="7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CAA1-4421-49AA-9A24-612D3499598C}">
  <sheetPr>
    <tabColor theme="0"/>
    <pageSetUpPr fitToPage="1"/>
  </sheetPr>
  <dimension ref="A1:R36"/>
  <sheetViews>
    <sheetView showGridLines="0" rightToLeft="1" view="pageBreakPreview" zoomScaleNormal="100" zoomScaleSheetLayoutView="100" workbookViewId="0">
      <selection activeCell="U21" sqref="U21"/>
    </sheetView>
  </sheetViews>
  <sheetFormatPr defaultRowHeight="18.75"/>
  <cols>
    <col min="1" max="1" width="30.85546875" style="59" customWidth="1"/>
    <col min="2" max="2" width="1.28515625" style="59" customWidth="1"/>
    <col min="3" max="3" width="13.140625" style="112" bestFit="1" customWidth="1"/>
    <col min="4" max="4" width="1.28515625" style="95" customWidth="1"/>
    <col min="5" max="5" width="18.5703125" style="59" bestFit="1" customWidth="1"/>
    <col min="6" max="6" width="1.28515625" style="95" customWidth="1"/>
    <col min="7" max="7" width="20" style="59" bestFit="1" customWidth="1"/>
    <col min="8" max="8" width="1.28515625" style="95" customWidth="1"/>
    <col min="9" max="9" width="16.85546875" style="112" bestFit="1" customWidth="1"/>
    <col min="10" max="10" width="1.28515625" style="95" customWidth="1"/>
    <col min="11" max="11" width="13.140625" style="59" bestFit="1" customWidth="1"/>
    <col min="12" max="12" width="1.28515625" style="95" customWidth="1"/>
    <col min="13" max="13" width="17.85546875" style="59" bestFit="1" customWidth="1"/>
    <col min="14" max="14" width="1.28515625" style="95" customWidth="1"/>
    <col min="15" max="15" width="19.28515625" style="59" bestFit="1" customWidth="1"/>
    <col min="16" max="16" width="1.28515625" style="95" customWidth="1"/>
    <col min="17" max="17" width="16.85546875" style="112" bestFit="1" customWidth="1"/>
    <col min="18" max="18" width="0.28515625" style="12" customWidth="1"/>
    <col min="19" max="19" width="5" style="12" customWidth="1"/>
    <col min="20" max="20" width="8.28515625" style="12" customWidth="1"/>
    <col min="21" max="21" width="14.5703125" style="12" bestFit="1" customWidth="1"/>
    <col min="22" max="16384" width="9.140625" style="12"/>
  </cols>
  <sheetData>
    <row r="1" spans="1:17" ht="30" customHeight="1">
      <c r="A1" s="214" t="s">
        <v>100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</row>
    <row r="2" spans="1:17" ht="30" customHeight="1">
      <c r="A2" s="214" t="s">
        <v>85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</row>
    <row r="3" spans="1:17" ht="30" customHeight="1">
      <c r="A3" s="214" t="s">
        <v>144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</row>
    <row r="4" spans="1:17" ht="30" customHeight="1">
      <c r="A4" s="215" t="s">
        <v>70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</row>
    <row r="5" spans="1:17" ht="22.5" customHeight="1">
      <c r="A5" s="216" t="s">
        <v>38</v>
      </c>
      <c r="C5" s="216" t="s">
        <v>48</v>
      </c>
      <c r="D5" s="216"/>
      <c r="E5" s="216"/>
      <c r="F5" s="216"/>
      <c r="G5" s="216"/>
      <c r="H5" s="216"/>
      <c r="I5" s="216"/>
      <c r="K5" s="216" t="s">
        <v>49</v>
      </c>
      <c r="L5" s="216"/>
      <c r="M5" s="216"/>
      <c r="N5" s="216"/>
      <c r="O5" s="216"/>
      <c r="P5" s="216"/>
      <c r="Q5" s="216"/>
    </row>
    <row r="6" spans="1:17" ht="43.5" customHeight="1">
      <c r="A6" s="216"/>
      <c r="C6" s="96" t="s">
        <v>8</v>
      </c>
      <c r="E6" s="97" t="s">
        <v>71</v>
      </c>
      <c r="G6" s="97" t="s">
        <v>72</v>
      </c>
      <c r="I6" s="96" t="s">
        <v>73</v>
      </c>
      <c r="K6" s="98" t="s">
        <v>8</v>
      </c>
      <c r="M6" s="98" t="s">
        <v>71</v>
      </c>
      <c r="O6" s="98" t="s">
        <v>72</v>
      </c>
      <c r="Q6" s="96" t="s">
        <v>73</v>
      </c>
    </row>
    <row r="7" spans="1:17" ht="23.25" hidden="1" customHeight="1">
      <c r="A7" s="99" t="s">
        <v>103</v>
      </c>
      <c r="B7" s="100"/>
      <c r="C7" s="100">
        <v>0</v>
      </c>
      <c r="D7" s="101">
        <v>0</v>
      </c>
      <c r="E7" s="100">
        <v>0</v>
      </c>
      <c r="F7" s="101">
        <v>0</v>
      </c>
      <c r="G7" s="102">
        <v>0</v>
      </c>
      <c r="H7" s="101"/>
      <c r="I7" s="103">
        <f>E7+G7</f>
        <v>0</v>
      </c>
      <c r="K7" s="151">
        <v>0</v>
      </c>
      <c r="L7" s="152">
        <v>99778820932</v>
      </c>
      <c r="M7" s="151">
        <v>0</v>
      </c>
      <c r="N7" s="104"/>
      <c r="O7" s="105">
        <v>0</v>
      </c>
      <c r="Q7" s="106">
        <f>M7+O7</f>
        <v>0</v>
      </c>
    </row>
    <row r="8" spans="1:17" ht="29.25" hidden="1" customHeight="1">
      <c r="A8" s="99" t="s">
        <v>104</v>
      </c>
      <c r="B8" s="100"/>
      <c r="C8" s="100">
        <v>0</v>
      </c>
      <c r="D8" s="95">
        <v>0</v>
      </c>
      <c r="E8" s="100">
        <v>0</v>
      </c>
      <c r="F8" s="95">
        <v>0</v>
      </c>
      <c r="G8" s="100">
        <v>0</v>
      </c>
      <c r="I8" s="106">
        <f t="shared" ref="I8" si="0">E8+G8</f>
        <v>0</v>
      </c>
      <c r="K8" s="106">
        <v>0</v>
      </c>
      <c r="L8" s="104"/>
      <c r="M8" s="100">
        <v>0</v>
      </c>
      <c r="N8" s="104"/>
      <c r="O8" s="107">
        <v>0</v>
      </c>
      <c r="Q8" s="106">
        <f t="shared" ref="Q8" si="1">M8+O8</f>
        <v>0</v>
      </c>
    </row>
    <row r="9" spans="1:17" ht="29.25" customHeight="1">
      <c r="A9" s="99" t="s">
        <v>105</v>
      </c>
      <c r="B9" s="100"/>
      <c r="C9" s="100">
        <v>635054</v>
      </c>
      <c r="E9" s="100">
        <f>6766080180-18471362-33830401</f>
        <v>6713778417</v>
      </c>
      <c r="G9" s="102">
        <v>-6170158117</v>
      </c>
      <c r="I9" s="106">
        <f>E9+G9</f>
        <v>543620300</v>
      </c>
      <c r="K9" s="100">
        <f>C9</f>
        <v>635054</v>
      </c>
      <c r="L9" s="104"/>
      <c r="M9" s="151">
        <f>E9</f>
        <v>6713778417</v>
      </c>
      <c r="N9" s="104"/>
      <c r="O9" s="108">
        <f>G9</f>
        <v>-6170158117</v>
      </c>
      <c r="Q9" s="106">
        <f>M9+O9</f>
        <v>543620300</v>
      </c>
    </row>
    <row r="10" spans="1:17" ht="29.25" hidden="1" customHeight="1">
      <c r="A10" s="99" t="s">
        <v>106</v>
      </c>
      <c r="B10" s="100"/>
      <c r="C10" s="100"/>
      <c r="E10" s="100"/>
      <c r="G10" s="153"/>
      <c r="I10" s="106">
        <f t="shared" ref="I10:I34" si="2">E10+G10</f>
        <v>0</v>
      </c>
      <c r="K10" s="100">
        <f t="shared" ref="K10:K34" si="3">C10</f>
        <v>0</v>
      </c>
      <c r="L10" s="104"/>
      <c r="M10" s="151">
        <f t="shared" ref="M10:M34" si="4">E10</f>
        <v>0</v>
      </c>
      <c r="N10" s="104"/>
      <c r="O10" s="108">
        <f t="shared" ref="O10:O34" si="5">G10</f>
        <v>0</v>
      </c>
      <c r="Q10" s="106">
        <f t="shared" ref="Q10:Q34" si="6">M10+O10</f>
        <v>0</v>
      </c>
    </row>
    <row r="11" spans="1:17" ht="29.25" customHeight="1">
      <c r="A11" s="99" t="s">
        <v>107</v>
      </c>
      <c r="B11" s="100"/>
      <c r="C11" s="100">
        <v>131000</v>
      </c>
      <c r="E11" s="100">
        <f>3613060000-9863625-18065300</f>
        <v>3585131075</v>
      </c>
      <c r="G11" s="102">
        <v>-3471214295</v>
      </c>
      <c r="I11" s="106">
        <f t="shared" si="2"/>
        <v>113916780</v>
      </c>
      <c r="K11" s="100">
        <f t="shared" si="3"/>
        <v>131000</v>
      </c>
      <c r="L11" s="104"/>
      <c r="M11" s="151">
        <f t="shared" si="4"/>
        <v>3585131075</v>
      </c>
      <c r="N11" s="104"/>
      <c r="O11" s="108">
        <f t="shared" si="5"/>
        <v>-3471214295</v>
      </c>
      <c r="Q11" s="106">
        <f t="shared" si="6"/>
        <v>113916780</v>
      </c>
    </row>
    <row r="12" spans="1:17" ht="29.25" customHeight="1">
      <c r="A12" s="99" t="s">
        <v>121</v>
      </c>
      <c r="B12" s="100"/>
      <c r="C12" s="100">
        <v>16797969</v>
      </c>
      <c r="E12" s="100">
        <f>47411210764-129432365-237056055</f>
        <v>47044722344</v>
      </c>
      <c r="G12" s="102">
        <v>-49937689592</v>
      </c>
      <c r="I12" s="108">
        <f>E12+G12</f>
        <v>-2892967248</v>
      </c>
      <c r="K12" s="100">
        <f t="shared" si="3"/>
        <v>16797969</v>
      </c>
      <c r="L12" s="104"/>
      <c r="M12" s="151">
        <f t="shared" si="4"/>
        <v>47044722344</v>
      </c>
      <c r="N12" s="104"/>
      <c r="O12" s="108">
        <f t="shared" si="5"/>
        <v>-49937689592</v>
      </c>
      <c r="Q12" s="108">
        <f t="shared" si="6"/>
        <v>-2892967248</v>
      </c>
    </row>
    <row r="13" spans="1:17" ht="29.25" hidden="1" customHeight="1">
      <c r="A13" s="99" t="s">
        <v>122</v>
      </c>
      <c r="B13" s="100"/>
      <c r="C13" s="100">
        <v>0</v>
      </c>
      <c r="E13" s="100"/>
      <c r="G13" s="102"/>
      <c r="I13" s="106">
        <f t="shared" si="2"/>
        <v>0</v>
      </c>
      <c r="K13" s="100">
        <f t="shared" si="3"/>
        <v>0</v>
      </c>
      <c r="L13" s="104"/>
      <c r="M13" s="151">
        <f t="shared" si="4"/>
        <v>0</v>
      </c>
      <c r="N13" s="104"/>
      <c r="O13" s="108">
        <f t="shared" si="5"/>
        <v>0</v>
      </c>
      <c r="Q13" s="106">
        <f t="shared" si="6"/>
        <v>0</v>
      </c>
    </row>
    <row r="14" spans="1:17" ht="29.25" customHeight="1">
      <c r="A14" s="99" t="s">
        <v>124</v>
      </c>
      <c r="B14" s="100"/>
      <c r="C14" s="100">
        <v>785909</v>
      </c>
      <c r="E14" s="100">
        <f>16661050200-45484566-83305252</f>
        <v>16532260382</v>
      </c>
      <c r="G14" s="108">
        <v>-15167769807</v>
      </c>
      <c r="I14" s="106">
        <f t="shared" si="2"/>
        <v>1364490575</v>
      </c>
      <c r="K14" s="100">
        <f t="shared" si="3"/>
        <v>785909</v>
      </c>
      <c r="L14" s="104"/>
      <c r="M14" s="151">
        <f t="shared" si="4"/>
        <v>16532260382</v>
      </c>
      <c r="N14" s="104"/>
      <c r="O14" s="108">
        <f t="shared" si="5"/>
        <v>-15167769807</v>
      </c>
      <c r="Q14" s="106">
        <f t="shared" si="6"/>
        <v>1364490575</v>
      </c>
    </row>
    <row r="15" spans="1:17" ht="29.25" hidden="1" customHeight="1">
      <c r="A15" s="99" t="s">
        <v>130</v>
      </c>
      <c r="C15" s="100"/>
      <c r="E15" s="150"/>
      <c r="G15" s="108"/>
      <c r="I15" s="106">
        <f t="shared" si="2"/>
        <v>0</v>
      </c>
      <c r="K15" s="100">
        <f t="shared" si="3"/>
        <v>0</v>
      </c>
      <c r="L15" s="104"/>
      <c r="M15" s="151">
        <f t="shared" si="4"/>
        <v>0</v>
      </c>
      <c r="N15" s="104"/>
      <c r="O15" s="108">
        <f t="shared" si="5"/>
        <v>0</v>
      </c>
      <c r="Q15" s="106">
        <f t="shared" si="6"/>
        <v>0</v>
      </c>
    </row>
    <row r="16" spans="1:17" ht="29.25" hidden="1" customHeight="1">
      <c r="A16" s="99" t="s">
        <v>129</v>
      </c>
      <c r="C16" s="100"/>
      <c r="E16" s="150"/>
      <c r="G16" s="108"/>
      <c r="I16" s="106">
        <f t="shared" si="2"/>
        <v>0</v>
      </c>
      <c r="K16" s="100">
        <f t="shared" si="3"/>
        <v>0</v>
      </c>
      <c r="L16" s="104"/>
      <c r="M16" s="151">
        <f t="shared" si="4"/>
        <v>0</v>
      </c>
      <c r="N16" s="104"/>
      <c r="O16" s="108">
        <f t="shared" si="5"/>
        <v>0</v>
      </c>
      <c r="Q16" s="106">
        <f t="shared" si="6"/>
        <v>0</v>
      </c>
    </row>
    <row r="17" spans="1:17" ht="29.25" customHeight="1">
      <c r="A17" s="99" t="s">
        <v>120</v>
      </c>
      <c r="C17" s="100">
        <v>905997</v>
      </c>
      <c r="E17" s="150">
        <f>19728611400-53858984-98643059</f>
        <v>19576109357</v>
      </c>
      <c r="G17" s="108">
        <v>-16838546674</v>
      </c>
      <c r="I17" s="106">
        <f t="shared" si="2"/>
        <v>2737562683</v>
      </c>
      <c r="K17" s="100">
        <f t="shared" si="3"/>
        <v>905997</v>
      </c>
      <c r="L17" s="104"/>
      <c r="M17" s="151">
        <f t="shared" si="4"/>
        <v>19576109357</v>
      </c>
      <c r="N17" s="104"/>
      <c r="O17" s="108">
        <f t="shared" si="5"/>
        <v>-16838546674</v>
      </c>
      <c r="Q17" s="106">
        <f t="shared" si="6"/>
        <v>2737562683</v>
      </c>
    </row>
    <row r="18" spans="1:17" ht="29.25" customHeight="1">
      <c r="A18" s="99" t="s">
        <v>103</v>
      </c>
      <c r="C18" s="100">
        <v>1542661</v>
      </c>
      <c r="E18" s="150">
        <f>21280450320-58095465-106402250</f>
        <v>21115952605</v>
      </c>
      <c r="G18" s="108">
        <v>-24813812901</v>
      </c>
      <c r="I18" s="108">
        <f t="shared" si="2"/>
        <v>-3697860296</v>
      </c>
      <c r="K18" s="100">
        <f t="shared" si="3"/>
        <v>1542661</v>
      </c>
      <c r="L18" s="104"/>
      <c r="M18" s="151">
        <f t="shared" si="4"/>
        <v>21115952605</v>
      </c>
      <c r="N18" s="104"/>
      <c r="O18" s="108">
        <f t="shared" si="5"/>
        <v>-24813812901</v>
      </c>
      <c r="Q18" s="108">
        <f t="shared" si="6"/>
        <v>-3697860296</v>
      </c>
    </row>
    <row r="19" spans="1:17" ht="29.25" customHeight="1">
      <c r="A19" s="99" t="s">
        <v>135</v>
      </c>
      <c r="C19" s="100">
        <v>2687262</v>
      </c>
      <c r="E19" s="150">
        <f>24373808750-66540265-121869045</f>
        <v>24185399440</v>
      </c>
      <c r="G19" s="108">
        <v>-18372112403</v>
      </c>
      <c r="I19" s="106">
        <f t="shared" si="2"/>
        <v>5813287037</v>
      </c>
      <c r="K19" s="100">
        <f t="shared" si="3"/>
        <v>2687262</v>
      </c>
      <c r="L19" s="104"/>
      <c r="M19" s="151">
        <f t="shared" si="4"/>
        <v>24185399440</v>
      </c>
      <c r="N19" s="104"/>
      <c r="O19" s="108">
        <f t="shared" si="5"/>
        <v>-18372112403</v>
      </c>
      <c r="Q19" s="106">
        <f t="shared" si="6"/>
        <v>5813287037</v>
      </c>
    </row>
    <row r="20" spans="1:17" ht="29.25" customHeight="1">
      <c r="A20" s="99" t="s">
        <v>133</v>
      </c>
      <c r="C20" s="100">
        <v>5896640</v>
      </c>
      <c r="E20" s="150">
        <f>102589979600-280069898-512949897</f>
        <v>101796959805</v>
      </c>
      <c r="G20" s="108">
        <v>-100696724887</v>
      </c>
      <c r="I20" s="106">
        <f t="shared" si="2"/>
        <v>1100234918</v>
      </c>
      <c r="K20" s="100">
        <f t="shared" si="3"/>
        <v>5896640</v>
      </c>
      <c r="L20" s="104"/>
      <c r="M20" s="151">
        <f t="shared" si="4"/>
        <v>101796959805</v>
      </c>
      <c r="N20" s="104"/>
      <c r="O20" s="108">
        <f t="shared" si="5"/>
        <v>-100696724887</v>
      </c>
      <c r="Q20" s="106">
        <f t="shared" si="6"/>
        <v>1100234918</v>
      </c>
    </row>
    <row r="21" spans="1:17" ht="29.25" customHeight="1">
      <c r="A21" s="99" t="s">
        <v>154</v>
      </c>
      <c r="C21" s="100">
        <v>20000</v>
      </c>
      <c r="E21" s="150">
        <f>236000000-542800-0</f>
        <v>235457200</v>
      </c>
      <c r="G21" s="108">
        <v>-238113365</v>
      </c>
      <c r="I21" s="108">
        <f t="shared" si="2"/>
        <v>-2656165</v>
      </c>
      <c r="K21" s="100">
        <f t="shared" si="3"/>
        <v>20000</v>
      </c>
      <c r="L21" s="104"/>
      <c r="M21" s="151">
        <f t="shared" si="4"/>
        <v>235457200</v>
      </c>
      <c r="N21" s="104"/>
      <c r="O21" s="108">
        <f t="shared" si="5"/>
        <v>-238113365</v>
      </c>
      <c r="Q21" s="108">
        <f t="shared" si="6"/>
        <v>-2656165</v>
      </c>
    </row>
    <row r="22" spans="1:17" ht="29.25" customHeight="1">
      <c r="A22" s="99" t="s">
        <v>126</v>
      </c>
      <c r="C22" s="100">
        <v>1156410</v>
      </c>
      <c r="E22" s="150">
        <f>10388972000-28361844-51944860</f>
        <v>10308665296</v>
      </c>
      <c r="G22" s="108">
        <v>-10143643204</v>
      </c>
      <c r="I22" s="106">
        <f t="shared" si="2"/>
        <v>165022092</v>
      </c>
      <c r="K22" s="100">
        <f t="shared" si="3"/>
        <v>1156410</v>
      </c>
      <c r="L22" s="104"/>
      <c r="M22" s="151">
        <f t="shared" si="4"/>
        <v>10308665296</v>
      </c>
      <c r="N22" s="104"/>
      <c r="O22" s="108">
        <f t="shared" si="5"/>
        <v>-10143643204</v>
      </c>
      <c r="Q22" s="106">
        <f t="shared" si="6"/>
        <v>165022092</v>
      </c>
    </row>
    <row r="23" spans="1:17" ht="29.25" customHeight="1">
      <c r="A23" s="99" t="s">
        <v>155</v>
      </c>
      <c r="C23" s="100">
        <v>2320518</v>
      </c>
      <c r="E23" s="150">
        <f>10656247240-29091494-53281237</f>
        <v>10573874509</v>
      </c>
      <c r="G23" s="108">
        <v>-11743160023</v>
      </c>
      <c r="I23" s="108">
        <f>E23+G23</f>
        <v>-1169285514</v>
      </c>
      <c r="K23" s="100">
        <f t="shared" si="3"/>
        <v>2320518</v>
      </c>
      <c r="L23" s="104"/>
      <c r="M23" s="151">
        <f t="shared" si="4"/>
        <v>10573874509</v>
      </c>
      <c r="N23" s="104"/>
      <c r="O23" s="108">
        <f t="shared" si="5"/>
        <v>-11743160023</v>
      </c>
      <c r="Q23" s="108">
        <f t="shared" si="6"/>
        <v>-1169285514</v>
      </c>
    </row>
    <row r="24" spans="1:17" ht="29.25" customHeight="1">
      <c r="A24" s="99" t="s">
        <v>134</v>
      </c>
      <c r="C24" s="100">
        <v>9386375</v>
      </c>
      <c r="E24" s="150">
        <f>24981613620-68199704-124908068</f>
        <v>24788505848</v>
      </c>
      <c r="G24" s="108">
        <v>-22312238554</v>
      </c>
      <c r="I24" s="106">
        <f t="shared" si="2"/>
        <v>2476267294</v>
      </c>
      <c r="K24" s="100">
        <f t="shared" si="3"/>
        <v>9386375</v>
      </c>
      <c r="L24" s="104"/>
      <c r="M24" s="151">
        <f t="shared" si="4"/>
        <v>24788505848</v>
      </c>
      <c r="N24" s="104"/>
      <c r="O24" s="108">
        <f t="shared" si="5"/>
        <v>-22312238554</v>
      </c>
      <c r="Q24" s="106">
        <f t="shared" si="6"/>
        <v>2476267294</v>
      </c>
    </row>
    <row r="25" spans="1:17" ht="29.25" customHeight="1">
      <c r="A25" s="99" t="s">
        <v>136</v>
      </c>
      <c r="C25" s="100">
        <v>300000</v>
      </c>
      <c r="E25" s="150">
        <f>288900000-788689-1444500</f>
        <v>286666811</v>
      </c>
      <c r="G25" s="108">
        <v>-278034056</v>
      </c>
      <c r="I25" s="106">
        <f t="shared" si="2"/>
        <v>8632755</v>
      </c>
      <c r="K25" s="100">
        <f t="shared" si="3"/>
        <v>300000</v>
      </c>
      <c r="L25" s="104"/>
      <c r="M25" s="151">
        <f t="shared" si="4"/>
        <v>286666811</v>
      </c>
      <c r="N25" s="104"/>
      <c r="O25" s="108">
        <f t="shared" si="5"/>
        <v>-278034056</v>
      </c>
      <c r="Q25" s="106">
        <f t="shared" si="6"/>
        <v>8632755</v>
      </c>
    </row>
    <row r="26" spans="1:17" ht="29.25" customHeight="1">
      <c r="A26" s="99" t="s">
        <v>156</v>
      </c>
      <c r="C26" s="100">
        <v>2600000</v>
      </c>
      <c r="E26" s="150">
        <f>19552000000-53376869-97760000</f>
        <v>19400863131</v>
      </c>
      <c r="G26" s="108">
        <v>-21116103822</v>
      </c>
      <c r="I26" s="108">
        <f t="shared" si="2"/>
        <v>-1715240691</v>
      </c>
      <c r="K26" s="100">
        <f t="shared" si="3"/>
        <v>2600000</v>
      </c>
      <c r="L26" s="104"/>
      <c r="M26" s="151">
        <f t="shared" si="4"/>
        <v>19400863131</v>
      </c>
      <c r="N26" s="104"/>
      <c r="O26" s="108">
        <f t="shared" si="5"/>
        <v>-21116103822</v>
      </c>
      <c r="Q26" s="108">
        <f t="shared" si="6"/>
        <v>-1715240691</v>
      </c>
    </row>
    <row r="27" spans="1:17" ht="29.25" customHeight="1">
      <c r="A27" s="99" t="s">
        <v>138</v>
      </c>
      <c r="C27" s="100">
        <v>7060021</v>
      </c>
      <c r="E27" s="150">
        <f>14858039917-40562279-74290199</f>
        <v>14743187439</v>
      </c>
      <c r="G27" s="108">
        <v>-14305122855</v>
      </c>
      <c r="I27" s="106">
        <f t="shared" si="2"/>
        <v>438064584</v>
      </c>
      <c r="K27" s="100">
        <f t="shared" si="3"/>
        <v>7060021</v>
      </c>
      <c r="L27" s="104"/>
      <c r="M27" s="151">
        <f t="shared" si="4"/>
        <v>14743187439</v>
      </c>
      <c r="N27" s="104"/>
      <c r="O27" s="108">
        <f t="shared" si="5"/>
        <v>-14305122855</v>
      </c>
      <c r="Q27" s="106">
        <f t="shared" si="6"/>
        <v>438064584</v>
      </c>
    </row>
    <row r="28" spans="1:17" ht="29.25" customHeight="1">
      <c r="A28" s="99" t="s">
        <v>157</v>
      </c>
      <c r="C28" s="100">
        <v>3394952</v>
      </c>
      <c r="E28" s="150">
        <f>21731157180-59325969-108655786</f>
        <v>21563175425</v>
      </c>
      <c r="G28" s="108">
        <v>-18531282370</v>
      </c>
      <c r="I28" s="106">
        <f t="shared" si="2"/>
        <v>3031893055</v>
      </c>
      <c r="K28" s="100">
        <f t="shared" si="3"/>
        <v>3394952</v>
      </c>
      <c r="L28" s="104"/>
      <c r="M28" s="151">
        <f t="shared" si="4"/>
        <v>21563175425</v>
      </c>
      <c r="N28" s="104"/>
      <c r="O28" s="108">
        <f t="shared" si="5"/>
        <v>-18531282370</v>
      </c>
      <c r="Q28" s="106">
        <f t="shared" si="6"/>
        <v>3031893055</v>
      </c>
    </row>
    <row r="29" spans="1:17" ht="29.25" customHeight="1">
      <c r="A29" s="99" t="s">
        <v>125</v>
      </c>
      <c r="C29" s="100">
        <v>552250</v>
      </c>
      <c r="E29" s="150">
        <f>2957539500-8074024-14787697</f>
        <v>2934677779</v>
      </c>
      <c r="G29" s="108">
        <v>-3225854477</v>
      </c>
      <c r="I29" s="108">
        <f t="shared" si="2"/>
        <v>-291176698</v>
      </c>
      <c r="K29" s="100">
        <f t="shared" si="3"/>
        <v>552250</v>
      </c>
      <c r="L29" s="104"/>
      <c r="M29" s="151">
        <f t="shared" si="4"/>
        <v>2934677779</v>
      </c>
      <c r="N29" s="104"/>
      <c r="O29" s="108">
        <f t="shared" si="5"/>
        <v>-3225854477</v>
      </c>
      <c r="Q29" s="108">
        <f t="shared" si="6"/>
        <v>-291176698</v>
      </c>
    </row>
    <row r="30" spans="1:17" ht="29.25" customHeight="1">
      <c r="A30" s="99" t="s">
        <v>123</v>
      </c>
      <c r="C30" s="100">
        <v>1000000</v>
      </c>
      <c r="E30" s="150">
        <f>2880000000-7862398-14400000</f>
        <v>2857737602</v>
      </c>
      <c r="G30" s="108">
        <v>-2935134660</v>
      </c>
      <c r="I30" s="108">
        <f t="shared" si="2"/>
        <v>-77397058</v>
      </c>
      <c r="K30" s="100">
        <f t="shared" si="3"/>
        <v>1000000</v>
      </c>
      <c r="L30" s="104"/>
      <c r="M30" s="151">
        <f t="shared" si="4"/>
        <v>2857737602</v>
      </c>
      <c r="N30" s="104"/>
      <c r="O30" s="108">
        <f t="shared" si="5"/>
        <v>-2935134660</v>
      </c>
      <c r="Q30" s="108">
        <f t="shared" si="6"/>
        <v>-77397058</v>
      </c>
    </row>
    <row r="31" spans="1:17" ht="29.25" customHeight="1">
      <c r="A31" s="99" t="s">
        <v>131</v>
      </c>
      <c r="C31" s="100">
        <v>326168</v>
      </c>
      <c r="E31" s="150">
        <f>20761601042-49827820-0</f>
        <v>20711773222</v>
      </c>
      <c r="G31" s="108">
        <v>-21043857673</v>
      </c>
      <c r="I31" s="108">
        <f t="shared" si="2"/>
        <v>-332084451</v>
      </c>
      <c r="K31" s="100">
        <f t="shared" si="3"/>
        <v>326168</v>
      </c>
      <c r="L31" s="104"/>
      <c r="M31" s="151">
        <f t="shared" si="4"/>
        <v>20711773222</v>
      </c>
      <c r="N31" s="104"/>
      <c r="O31" s="108">
        <f t="shared" si="5"/>
        <v>-21043857673</v>
      </c>
      <c r="Q31" s="108">
        <f t="shared" si="6"/>
        <v>-332084451</v>
      </c>
    </row>
    <row r="32" spans="1:17" ht="29.25" customHeight="1">
      <c r="A32" s="99" t="s">
        <v>132</v>
      </c>
      <c r="C32" s="100">
        <v>299559</v>
      </c>
      <c r="E32" s="150">
        <f>19252235626-46205350-0</f>
        <v>19206030276</v>
      </c>
      <c r="G32" s="108">
        <v>-19394719790</v>
      </c>
      <c r="I32" s="107">
        <f t="shared" si="2"/>
        <v>-188689514</v>
      </c>
      <c r="K32" s="100">
        <f t="shared" si="3"/>
        <v>299559</v>
      </c>
      <c r="L32" s="104"/>
      <c r="M32" s="151">
        <f t="shared" si="4"/>
        <v>19206030276</v>
      </c>
      <c r="N32" s="104"/>
      <c r="O32" s="108">
        <f t="shared" si="5"/>
        <v>-19394719790</v>
      </c>
      <c r="Q32" s="108">
        <f t="shared" si="6"/>
        <v>-188689514</v>
      </c>
    </row>
    <row r="33" spans="1:18" ht="29.25" hidden="1" customHeight="1">
      <c r="A33" s="99" t="s">
        <v>127</v>
      </c>
      <c r="C33" s="100"/>
      <c r="E33" s="150"/>
      <c r="G33" s="108"/>
      <c r="I33" s="107">
        <f t="shared" si="2"/>
        <v>0</v>
      </c>
      <c r="K33" s="100">
        <f t="shared" si="3"/>
        <v>0</v>
      </c>
      <c r="L33" s="104"/>
      <c r="M33" s="151">
        <f t="shared" si="4"/>
        <v>0</v>
      </c>
      <c r="N33" s="104"/>
      <c r="O33" s="108">
        <f t="shared" si="5"/>
        <v>0</v>
      </c>
      <c r="Q33" s="106">
        <f t="shared" si="6"/>
        <v>0</v>
      </c>
    </row>
    <row r="34" spans="1:18" ht="29.25" hidden="1" customHeight="1">
      <c r="A34" s="99" t="s">
        <v>128</v>
      </c>
      <c r="C34" s="100"/>
      <c r="E34" s="150"/>
      <c r="G34" s="108"/>
      <c r="I34" s="107">
        <f t="shared" si="2"/>
        <v>0</v>
      </c>
      <c r="K34" s="100">
        <f t="shared" si="3"/>
        <v>0</v>
      </c>
      <c r="L34" s="104"/>
      <c r="M34" s="151">
        <f t="shared" si="4"/>
        <v>0</v>
      </c>
      <c r="N34" s="104"/>
      <c r="O34" s="108">
        <f t="shared" si="5"/>
        <v>0</v>
      </c>
      <c r="Q34" s="106">
        <f t="shared" si="6"/>
        <v>0</v>
      </c>
    </row>
    <row r="35" spans="1:18" ht="30" customHeight="1" thickBot="1">
      <c r="A35" s="59" t="s">
        <v>14</v>
      </c>
      <c r="C35" s="64">
        <f>SUM(C7:C34)</f>
        <v>57798745</v>
      </c>
      <c r="E35" s="109">
        <f>SUM(E7:E34)</f>
        <v>388160927963</v>
      </c>
      <c r="G35" s="110">
        <f>SUM(G7:G34)</f>
        <v>-380735293525</v>
      </c>
      <c r="I35" s="175">
        <f>SUM(I7:I34)</f>
        <v>7425634438</v>
      </c>
      <c r="K35" s="64">
        <f>SUM(K7:K34)</f>
        <v>57798745</v>
      </c>
      <c r="L35" s="104"/>
      <c r="M35" s="64">
        <f>SUM(M7:M34)</f>
        <v>388160927963</v>
      </c>
      <c r="N35" s="104"/>
      <c r="O35" s="111">
        <f>SUM(O7:O34)</f>
        <v>-380735293525</v>
      </c>
      <c r="Q35" s="175">
        <f>SUM(Q7:Q34)</f>
        <v>7425634438</v>
      </c>
    </row>
    <row r="36" spans="1:18" ht="30" customHeight="1" thickTop="1">
      <c r="Q36" s="95"/>
      <c r="R36" s="95"/>
    </row>
  </sheetData>
  <autoFilter ref="A1:A36" xr:uid="{8232CAA1-4421-49AA-9A24-612D3499598C}"/>
  <mergeCells count="7">
    <mergeCell ref="A1:Q1"/>
    <mergeCell ref="A2:Q2"/>
    <mergeCell ref="A3:Q3"/>
    <mergeCell ref="A4:Q4"/>
    <mergeCell ref="A5:A6"/>
    <mergeCell ref="C5:I5"/>
    <mergeCell ref="K5:Q5"/>
  </mergeCells>
  <pageMargins left="0.7" right="0.7" top="0.75" bottom="0.75" header="0.3" footer="0.3"/>
  <pageSetup scale="6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  <pageSetUpPr fitToPage="1"/>
  </sheetPr>
  <dimension ref="A1:X16"/>
  <sheetViews>
    <sheetView rightToLeft="1" view="pageBreakPreview" zoomScaleNormal="100" zoomScaleSheetLayoutView="100" workbookViewId="0">
      <selection activeCell="X9" sqref="X9"/>
    </sheetView>
  </sheetViews>
  <sheetFormatPr defaultRowHeight="30" customHeight="1"/>
  <cols>
    <col min="1" max="1" width="28.5703125" style="3" customWidth="1"/>
    <col min="2" max="2" width="1.28515625" style="3" customWidth="1"/>
    <col min="3" max="3" width="15.85546875" style="3" customWidth="1"/>
    <col min="4" max="4" width="1.28515625" style="3" customWidth="1"/>
    <col min="5" max="5" width="16.28515625" style="40" customWidth="1"/>
    <col min="6" max="6" width="1.28515625" style="3" customWidth="1"/>
    <col min="7" max="7" width="13" style="3" customWidth="1"/>
    <col min="8" max="8" width="1.28515625" style="3" customWidth="1"/>
    <col min="9" max="9" width="18.140625" style="3" customWidth="1"/>
    <col min="10" max="10" width="1.28515625" style="3" customWidth="1"/>
    <col min="11" max="12" width="18.140625" style="3" customWidth="1"/>
    <col min="13" max="13" width="1.28515625" style="3" customWidth="1"/>
    <col min="14" max="15" width="13.42578125" style="3" customWidth="1"/>
    <col min="16" max="16" width="1.28515625" style="3" customWidth="1"/>
    <col min="17" max="17" width="15.5703125" style="3" customWidth="1"/>
    <col min="18" max="18" width="1.28515625" style="3" customWidth="1"/>
    <col min="19" max="19" width="15.5703125" style="3" customWidth="1"/>
    <col min="20" max="20" width="1.28515625" style="3" customWidth="1"/>
    <col min="21" max="21" width="16.5703125" style="25" customWidth="1"/>
    <col min="22" max="22" width="13.5703125" style="12" bestFit="1" customWidth="1"/>
    <col min="23" max="23" width="14.85546875" style="12" customWidth="1"/>
    <col min="24" max="24" width="11" style="12" bestFit="1" customWidth="1"/>
    <col min="25" max="16384" width="9.140625" style="12"/>
  </cols>
  <sheetData>
    <row r="1" spans="1:24" ht="30" customHeight="1">
      <c r="A1" s="176" t="s">
        <v>100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</row>
    <row r="2" spans="1:24" ht="30" customHeight="1">
      <c r="A2" s="176" t="s">
        <v>86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</row>
    <row r="3" spans="1:24" ht="30" customHeight="1">
      <c r="A3" s="176" t="s">
        <v>98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</row>
    <row r="4" spans="1:24" ht="30" customHeight="1">
      <c r="A4" s="217" t="s">
        <v>74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</row>
    <row r="5" spans="1:24" ht="30" customHeight="1">
      <c r="C5" s="191" t="s">
        <v>48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U5" s="50" t="s">
        <v>49</v>
      </c>
    </row>
    <row r="6" spans="1:24" ht="42">
      <c r="A6" s="51" t="s">
        <v>75</v>
      </c>
      <c r="C6" s="11" t="s">
        <v>19</v>
      </c>
      <c r="D6" s="4"/>
      <c r="E6" s="52" t="s">
        <v>8</v>
      </c>
      <c r="F6" s="4"/>
      <c r="G6" s="11" t="s">
        <v>18</v>
      </c>
      <c r="H6" s="4"/>
      <c r="I6" s="11" t="s">
        <v>76</v>
      </c>
      <c r="J6" s="4"/>
      <c r="K6" s="11" t="s">
        <v>77</v>
      </c>
      <c r="L6" s="53" t="s">
        <v>94</v>
      </c>
      <c r="M6" s="4"/>
      <c r="N6" s="11" t="s">
        <v>78</v>
      </c>
      <c r="O6" s="54" t="s">
        <v>95</v>
      </c>
      <c r="P6" s="4"/>
      <c r="Q6" s="11" t="s">
        <v>79</v>
      </c>
      <c r="R6" s="4"/>
      <c r="S6" s="11" t="s">
        <v>80</v>
      </c>
      <c r="U6" s="55" t="s">
        <v>80</v>
      </c>
    </row>
    <row r="7" spans="1:24" ht="24" customHeight="1">
      <c r="A7" s="56"/>
      <c r="C7" s="57"/>
      <c r="D7" s="57"/>
      <c r="E7" s="58">
        <v>0</v>
      </c>
      <c r="F7" s="59"/>
      <c r="G7" s="60">
        <v>0</v>
      </c>
      <c r="H7" s="59">
        <v>0</v>
      </c>
      <c r="I7" s="60">
        <v>0</v>
      </c>
      <c r="J7" s="59">
        <v>0</v>
      </c>
      <c r="K7" s="60">
        <v>0</v>
      </c>
      <c r="L7" s="60">
        <v>0</v>
      </c>
      <c r="M7" s="59">
        <v>0</v>
      </c>
      <c r="N7" s="60">
        <v>0</v>
      </c>
      <c r="O7" s="60">
        <v>0</v>
      </c>
      <c r="P7" s="59">
        <v>0</v>
      </c>
      <c r="Q7" s="60">
        <v>0</v>
      </c>
      <c r="R7" s="59">
        <v>0</v>
      </c>
      <c r="S7" s="60">
        <v>0</v>
      </c>
      <c r="U7" s="61"/>
    </row>
    <row r="8" spans="1:24" ht="30.75" customHeight="1">
      <c r="A8" s="56"/>
      <c r="C8" s="62"/>
      <c r="D8" s="57"/>
      <c r="E8" s="58">
        <v>0</v>
      </c>
      <c r="F8" s="59"/>
      <c r="G8" s="60">
        <v>0</v>
      </c>
      <c r="H8" s="59">
        <v>0</v>
      </c>
      <c r="I8" s="60">
        <v>0</v>
      </c>
      <c r="J8" s="59">
        <v>0</v>
      </c>
      <c r="K8" s="60">
        <v>0</v>
      </c>
      <c r="L8" s="60">
        <v>0</v>
      </c>
      <c r="M8" s="59">
        <v>0</v>
      </c>
      <c r="N8" s="60">
        <v>0</v>
      </c>
      <c r="O8" s="60">
        <v>0</v>
      </c>
      <c r="P8" s="59">
        <v>0</v>
      </c>
      <c r="Q8" s="60">
        <v>0</v>
      </c>
      <c r="R8" s="59">
        <v>0</v>
      </c>
      <c r="S8" s="60">
        <v>0</v>
      </c>
      <c r="U8" s="61"/>
      <c r="V8" s="49"/>
      <c r="W8" s="46"/>
    </row>
    <row r="9" spans="1:24" ht="27.75" customHeight="1">
      <c r="A9" s="56"/>
      <c r="C9" s="62"/>
      <c r="D9" s="57"/>
      <c r="E9" s="58">
        <v>0</v>
      </c>
      <c r="F9" s="59"/>
      <c r="G9" s="60">
        <v>0</v>
      </c>
      <c r="H9" s="59">
        <v>0</v>
      </c>
      <c r="I9" s="60">
        <v>0</v>
      </c>
      <c r="J9" s="59">
        <v>0</v>
      </c>
      <c r="K9" s="60">
        <v>0</v>
      </c>
      <c r="L9" s="60">
        <v>0</v>
      </c>
      <c r="M9" s="59">
        <v>0</v>
      </c>
      <c r="N9" s="60">
        <v>0</v>
      </c>
      <c r="O9" s="60">
        <v>0</v>
      </c>
      <c r="P9" s="59">
        <v>0</v>
      </c>
      <c r="Q9" s="60">
        <v>0</v>
      </c>
      <c r="R9" s="59">
        <v>0</v>
      </c>
      <c r="S9" s="60">
        <v>0</v>
      </c>
      <c r="U9" s="61"/>
    </row>
    <row r="10" spans="1:24" ht="30" customHeight="1">
      <c r="A10" s="56"/>
      <c r="C10" s="57"/>
      <c r="D10" s="57"/>
      <c r="E10" s="59">
        <v>0</v>
      </c>
      <c r="F10" s="59"/>
      <c r="G10" s="59">
        <v>0</v>
      </c>
      <c r="H10" s="59"/>
      <c r="I10" s="59">
        <f>E10*G10</f>
        <v>0</v>
      </c>
      <c r="J10" s="59"/>
      <c r="K10" s="59">
        <v>0</v>
      </c>
      <c r="L10" s="59">
        <v>0</v>
      </c>
      <c r="M10" s="59"/>
      <c r="N10" s="59">
        <f>I10*0.000255</f>
        <v>0</v>
      </c>
      <c r="O10" s="59">
        <v>0</v>
      </c>
      <c r="P10" s="59"/>
      <c r="Q10" s="59">
        <v>0</v>
      </c>
      <c r="R10" s="59"/>
      <c r="S10" s="63">
        <v>0</v>
      </c>
      <c r="U10" s="61"/>
      <c r="V10" s="27"/>
      <c r="W10" s="27"/>
      <c r="X10" s="27"/>
    </row>
    <row r="11" spans="1:24" ht="30" customHeight="1">
      <c r="A11" s="56"/>
      <c r="C11" s="57"/>
      <c r="D11" s="57"/>
      <c r="E11" s="59">
        <v>0</v>
      </c>
      <c r="F11" s="59"/>
      <c r="G11" s="59">
        <v>0</v>
      </c>
      <c r="H11" s="59"/>
      <c r="I11" s="59">
        <v>0</v>
      </c>
      <c r="J11" s="59"/>
      <c r="K11" s="59">
        <v>0</v>
      </c>
      <c r="L11" s="59">
        <v>0</v>
      </c>
      <c r="M11" s="59"/>
      <c r="N11" s="59">
        <v>0</v>
      </c>
      <c r="O11" s="59">
        <v>0</v>
      </c>
      <c r="P11" s="59"/>
      <c r="Q11" s="59">
        <v>0</v>
      </c>
      <c r="R11" s="59"/>
      <c r="S11" s="63">
        <v>0</v>
      </c>
      <c r="U11" s="61"/>
      <c r="V11" s="27"/>
      <c r="W11" s="27"/>
      <c r="X11" s="27"/>
    </row>
    <row r="12" spans="1:24" ht="30" customHeight="1">
      <c r="A12" s="56"/>
      <c r="C12" s="57"/>
      <c r="D12" s="57"/>
      <c r="E12" s="59">
        <v>0</v>
      </c>
      <c r="F12" s="59"/>
      <c r="G12" s="59">
        <v>0</v>
      </c>
      <c r="H12" s="59"/>
      <c r="I12" s="59">
        <f>E12*G12</f>
        <v>0</v>
      </c>
      <c r="J12" s="59"/>
      <c r="K12" s="59">
        <v>0</v>
      </c>
      <c r="L12" s="59">
        <v>0</v>
      </c>
      <c r="M12" s="59"/>
      <c r="N12" s="59">
        <f t="shared" ref="N12" si="0">I12*0.000255</f>
        <v>0</v>
      </c>
      <c r="O12" s="59">
        <v>0</v>
      </c>
      <c r="P12" s="59"/>
      <c r="Q12" s="59">
        <v>0</v>
      </c>
      <c r="R12" s="59"/>
      <c r="S12" s="63">
        <v>0</v>
      </c>
      <c r="U12" s="61"/>
      <c r="V12" s="27"/>
      <c r="X12" s="27"/>
    </row>
    <row r="13" spans="1:24" s="67" customFormat="1" ht="30" customHeight="1" thickBot="1">
      <c r="A13" s="14" t="s">
        <v>14</v>
      </c>
      <c r="B13" s="14"/>
      <c r="C13" s="43"/>
      <c r="D13" s="14"/>
      <c r="E13" s="64">
        <f>SUM(E7:E12)</f>
        <v>0</v>
      </c>
      <c r="F13" s="14"/>
      <c r="G13" s="65"/>
      <c r="H13" s="14"/>
      <c r="I13" s="21">
        <f>SUM(I7:I12)</f>
        <v>0</v>
      </c>
      <c r="J13" s="14"/>
      <c r="K13" s="21">
        <f>SUM(K7:K12)</f>
        <v>0</v>
      </c>
      <c r="L13" s="43"/>
      <c r="M13" s="14"/>
      <c r="N13" s="21">
        <f>SUM(N7:N12)</f>
        <v>0</v>
      </c>
      <c r="O13" s="65"/>
      <c r="P13" s="14"/>
      <c r="Q13" s="21">
        <f>SUM(Q7:Q12)</f>
        <v>0</v>
      </c>
      <c r="R13" s="14"/>
      <c r="S13" s="26">
        <f>SUM(S7:S12)</f>
        <v>0</v>
      </c>
      <c r="T13" s="14"/>
      <c r="U13" s="66">
        <f>SUM(U7:U12)</f>
        <v>0</v>
      </c>
    </row>
    <row r="14" spans="1:24" ht="30" customHeight="1" thickTop="1">
      <c r="V14" s="68"/>
    </row>
    <row r="15" spans="1:24" ht="30" customHeight="1">
      <c r="S15" s="7"/>
    </row>
    <row r="16" spans="1:24" ht="30" customHeight="1">
      <c r="Q16" s="59"/>
      <c r="S16" s="7"/>
    </row>
  </sheetData>
  <autoFilter ref="A1:A14" xr:uid="{00000000-0001-0000-1300-000000000000}"/>
  <mergeCells count="5">
    <mergeCell ref="A1:U1"/>
    <mergeCell ref="A2:U2"/>
    <mergeCell ref="A3:U3"/>
    <mergeCell ref="A4:U4"/>
    <mergeCell ref="C5:S5"/>
  </mergeCells>
  <phoneticPr fontId="12" type="noConversion"/>
  <pageMargins left="0.39" right="0.39" top="0.39" bottom="0.39" header="0" footer="0"/>
  <pageSetup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AE66"/>
  <sheetViews>
    <sheetView rightToLeft="1" view="pageBreakPreview" zoomScaleNormal="100" zoomScaleSheetLayoutView="100" workbookViewId="0">
      <selection activeCell="A30" sqref="A30:C30"/>
    </sheetView>
  </sheetViews>
  <sheetFormatPr defaultRowHeight="30" customHeight="1"/>
  <cols>
    <col min="1" max="1" width="4.42578125" style="3" customWidth="1"/>
    <col min="2" max="2" width="2.5703125" style="3" customWidth="1"/>
    <col min="3" max="3" width="24.5703125" style="3" customWidth="1"/>
    <col min="4" max="4" width="1.28515625" style="3" customWidth="1"/>
    <col min="5" max="5" width="19.5703125" style="73" customWidth="1"/>
    <col min="6" max="6" width="1.28515625" style="3" customWidth="1"/>
    <col min="7" max="7" width="22.5703125" style="74" customWidth="1"/>
    <col min="8" max="8" width="1.28515625" style="74" customWidth="1"/>
    <col min="9" max="9" width="20.5703125" style="74" customWidth="1"/>
    <col min="10" max="10" width="1.28515625" style="3" customWidth="1"/>
    <col min="11" max="11" width="14.28515625" style="3" customWidth="1"/>
    <col min="12" max="12" width="1.28515625" style="3" customWidth="1"/>
    <col min="13" max="13" width="18.42578125" style="3" customWidth="1"/>
    <col min="14" max="14" width="1.28515625" style="3" customWidth="1"/>
    <col min="15" max="15" width="17.42578125" style="25" customWidth="1"/>
    <col min="16" max="16" width="1.28515625" style="3" customWidth="1"/>
    <col min="17" max="17" width="18.140625" style="74" customWidth="1"/>
    <col min="18" max="18" width="1.28515625" style="3" customWidth="1"/>
    <col min="19" max="19" width="15.5703125" style="3" customWidth="1"/>
    <col min="20" max="20" width="1.28515625" style="3" customWidth="1"/>
    <col min="21" max="21" width="13" style="74" customWidth="1"/>
    <col min="22" max="22" width="1.28515625" style="74" customWidth="1"/>
    <col min="23" max="23" width="21" style="74" customWidth="1"/>
    <col min="24" max="24" width="1.28515625" style="74" customWidth="1"/>
    <col min="25" max="25" width="21.28515625" style="74" customWidth="1"/>
    <col min="26" max="26" width="1.28515625" style="3" customWidth="1"/>
    <col min="27" max="27" width="18.5703125" style="3" customWidth="1"/>
    <col min="28" max="28" width="0.28515625" style="12" customWidth="1"/>
    <col min="29" max="29" width="12.140625" style="12" bestFit="1" customWidth="1"/>
    <col min="30" max="30" width="17.140625" style="12" bestFit="1" customWidth="1"/>
    <col min="31" max="31" width="17" style="12" bestFit="1" customWidth="1"/>
    <col min="32" max="16384" width="9.140625" style="12"/>
  </cols>
  <sheetData>
    <row r="1" spans="1:31" ht="30" customHeight="1">
      <c r="A1" s="176" t="s">
        <v>101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</row>
    <row r="2" spans="1:31" ht="30" customHeight="1">
      <c r="A2" s="176" t="s">
        <v>84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</row>
    <row r="3" spans="1:31" ht="30" customHeight="1">
      <c r="A3" s="176" t="s">
        <v>144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</row>
    <row r="4" spans="1:31" ht="30" customHeight="1">
      <c r="A4" s="174" t="s">
        <v>0</v>
      </c>
      <c r="B4" s="189" t="s">
        <v>1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</row>
    <row r="5" spans="1:31" ht="30" customHeight="1">
      <c r="A5" s="190" t="s">
        <v>2</v>
      </c>
      <c r="B5" s="190"/>
      <c r="C5" s="189" t="s">
        <v>3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</row>
    <row r="6" spans="1:31" ht="30" customHeight="1">
      <c r="E6" s="191" t="s">
        <v>119</v>
      </c>
      <c r="F6" s="191"/>
      <c r="G6" s="191"/>
      <c r="H6" s="191"/>
      <c r="I6" s="191"/>
      <c r="K6" s="191" t="s">
        <v>4</v>
      </c>
      <c r="L6" s="191"/>
      <c r="M6" s="191"/>
      <c r="N6" s="191"/>
      <c r="O6" s="191"/>
      <c r="P6" s="191"/>
      <c r="Q6" s="191"/>
      <c r="S6" s="191" t="s">
        <v>145</v>
      </c>
      <c r="T6" s="191"/>
      <c r="U6" s="191"/>
      <c r="V6" s="191"/>
      <c r="W6" s="191"/>
      <c r="X6" s="191"/>
      <c r="Y6" s="191"/>
      <c r="Z6" s="191"/>
      <c r="AA6" s="191"/>
    </row>
    <row r="7" spans="1:31" ht="25.5" customHeight="1">
      <c r="A7" s="176" t="s">
        <v>7</v>
      </c>
      <c r="B7" s="176"/>
      <c r="C7" s="176"/>
      <c r="E7" s="192" t="s">
        <v>8</v>
      </c>
      <c r="F7" s="4"/>
      <c r="G7" s="184" t="s">
        <v>9</v>
      </c>
      <c r="H7" s="154"/>
      <c r="I7" s="184" t="s">
        <v>10</v>
      </c>
      <c r="K7" s="183" t="s">
        <v>5</v>
      </c>
      <c r="L7" s="183"/>
      <c r="M7" s="183"/>
      <c r="N7" s="4"/>
      <c r="O7" s="183" t="s">
        <v>6</v>
      </c>
      <c r="P7" s="183"/>
      <c r="Q7" s="183"/>
      <c r="S7" s="194" t="s">
        <v>8</v>
      </c>
      <c r="T7" s="4"/>
      <c r="U7" s="181" t="s">
        <v>12</v>
      </c>
      <c r="V7" s="154"/>
      <c r="W7" s="184" t="s">
        <v>9</v>
      </c>
      <c r="X7" s="154"/>
      <c r="Y7" s="184" t="s">
        <v>10</v>
      </c>
      <c r="Z7" s="4"/>
      <c r="AA7" s="187" t="s">
        <v>13</v>
      </c>
    </row>
    <row r="8" spans="1:31" ht="30" customHeight="1">
      <c r="A8" s="191"/>
      <c r="B8" s="191"/>
      <c r="C8" s="191"/>
      <c r="E8" s="193"/>
      <c r="G8" s="185"/>
      <c r="I8" s="185"/>
      <c r="K8" s="2" t="s">
        <v>8</v>
      </c>
      <c r="L8" s="4"/>
      <c r="M8" s="2" t="s">
        <v>9</v>
      </c>
      <c r="O8" s="156" t="s">
        <v>8</v>
      </c>
      <c r="P8" s="4"/>
      <c r="Q8" s="157" t="s">
        <v>11</v>
      </c>
      <c r="S8" s="191"/>
      <c r="U8" s="182"/>
      <c r="W8" s="185"/>
      <c r="Y8" s="185"/>
      <c r="AA8" s="188"/>
      <c r="AC8" s="27"/>
    </row>
    <row r="9" spans="1:31" ht="30" customHeight="1">
      <c r="A9" s="186" t="s">
        <v>120</v>
      </c>
      <c r="B9" s="186"/>
      <c r="C9" s="186"/>
      <c r="E9" s="158">
        <v>8265935</v>
      </c>
      <c r="G9" s="74">
        <v>118865100239</v>
      </c>
      <c r="I9" s="74">
        <v>145832259153.16101</v>
      </c>
      <c r="K9" s="7">
        <v>1900000</v>
      </c>
      <c r="M9" s="7">
        <v>43108290246</v>
      </c>
      <c r="O9" s="25">
        <v>-905997</v>
      </c>
      <c r="Q9" s="74">
        <v>19576109357</v>
      </c>
      <c r="S9" s="74">
        <v>9259938</v>
      </c>
      <c r="U9" s="159">
        <v>20760</v>
      </c>
      <c r="W9" s="74">
        <v>147538180549</v>
      </c>
      <c r="Y9" s="74">
        <v>190750326181</v>
      </c>
      <c r="AA9" s="160">
        <f>(Y9/2587490343331)*100</f>
        <v>7.3720207950781367</v>
      </c>
      <c r="AC9" s="27"/>
      <c r="AD9" s="171"/>
      <c r="AE9" s="155"/>
    </row>
    <row r="10" spans="1:31" ht="30" customHeight="1">
      <c r="A10" s="180" t="s">
        <v>121</v>
      </c>
      <c r="B10" s="180"/>
      <c r="C10" s="180"/>
      <c r="E10" s="158">
        <v>58304668</v>
      </c>
      <c r="G10" s="74">
        <v>163695466235</v>
      </c>
      <c r="I10" s="74">
        <v>173330502857.41501</v>
      </c>
      <c r="K10" s="7">
        <v>0</v>
      </c>
      <c r="M10" s="7">
        <v>0</v>
      </c>
      <c r="O10" s="25">
        <v>-16797969</v>
      </c>
      <c r="Q10" s="74">
        <v>47044722344</v>
      </c>
      <c r="S10" s="74">
        <v>41506699</v>
      </c>
      <c r="U10" s="159">
        <v>2787</v>
      </c>
      <c r="W10" s="74">
        <v>116533695803</v>
      </c>
      <c r="Y10" s="74">
        <v>114784970128</v>
      </c>
      <c r="AA10" s="160">
        <f t="shared" ref="AA10:AA32" si="0">(Y10/2587490343331)*100</f>
        <v>4.4361506671453634</v>
      </c>
      <c r="AC10" s="27"/>
      <c r="AD10" s="171"/>
      <c r="AE10" s="155"/>
    </row>
    <row r="11" spans="1:31" ht="30" hidden="1" customHeight="1">
      <c r="A11" s="180" t="s">
        <v>122</v>
      </c>
      <c r="B11" s="180"/>
      <c r="C11" s="180"/>
      <c r="E11" s="158">
        <v>0</v>
      </c>
      <c r="G11" s="74">
        <v>0</v>
      </c>
      <c r="I11" s="74">
        <v>0</v>
      </c>
      <c r="K11" s="7">
        <v>0</v>
      </c>
      <c r="M11" s="7">
        <v>0</v>
      </c>
      <c r="O11" s="25">
        <v>0</v>
      </c>
      <c r="Q11" s="74">
        <v>0</v>
      </c>
      <c r="S11" s="74">
        <v>0</v>
      </c>
      <c r="U11" s="159">
        <v>0</v>
      </c>
      <c r="W11" s="74">
        <v>0</v>
      </c>
      <c r="Y11" s="74">
        <v>0</v>
      </c>
      <c r="AA11" s="160">
        <f t="shared" si="0"/>
        <v>0</v>
      </c>
      <c r="AC11" s="27"/>
      <c r="AD11" s="171"/>
      <c r="AE11" s="155"/>
    </row>
    <row r="12" spans="1:31" ht="30" customHeight="1">
      <c r="A12" s="180" t="s">
        <v>123</v>
      </c>
      <c r="B12" s="180"/>
      <c r="C12" s="180"/>
      <c r="E12" s="158">
        <v>25835592</v>
      </c>
      <c r="G12" s="74">
        <v>73493377714</v>
      </c>
      <c r="I12" s="74">
        <v>75830941540.818695</v>
      </c>
      <c r="K12" s="7">
        <v>0</v>
      </c>
      <c r="M12" s="7">
        <v>0</v>
      </c>
      <c r="O12" s="25">
        <v>-1000000</v>
      </c>
      <c r="Q12" s="74">
        <v>2857737602</v>
      </c>
      <c r="S12" s="74">
        <v>24835592</v>
      </c>
      <c r="U12" s="159">
        <v>2320</v>
      </c>
      <c r="W12" s="74">
        <v>70648721485</v>
      </c>
      <c r="Y12" s="74">
        <v>57173181867</v>
      </c>
      <c r="AA12" s="160">
        <f t="shared" si="0"/>
        <v>2.2095998160672643</v>
      </c>
      <c r="AC12" s="27"/>
      <c r="AD12" s="171"/>
      <c r="AE12" s="155"/>
    </row>
    <row r="13" spans="1:31" ht="30" customHeight="1">
      <c r="A13" s="180" t="s">
        <v>155</v>
      </c>
      <c r="B13" s="180"/>
      <c r="C13" s="180"/>
      <c r="E13" s="161">
        <v>35168820</v>
      </c>
      <c r="G13" s="74">
        <v>185055416273</v>
      </c>
      <c r="I13" s="74">
        <v>177974521609.14001</v>
      </c>
      <c r="K13" s="7">
        <v>0</v>
      </c>
      <c r="M13" s="7">
        <v>0</v>
      </c>
      <c r="O13" s="25">
        <v>-2320518</v>
      </c>
      <c r="Q13" s="74">
        <v>10573874509</v>
      </c>
      <c r="S13" s="74">
        <v>32848302</v>
      </c>
      <c r="U13" s="159">
        <v>4590</v>
      </c>
      <c r="W13" s="74">
        <v>172845042865</v>
      </c>
      <c r="Y13" s="74">
        <v>149608225431</v>
      </c>
      <c r="AA13" s="160">
        <f t="shared" si="0"/>
        <v>5.7819819817531055</v>
      </c>
      <c r="AC13" s="27"/>
      <c r="AD13" s="171"/>
      <c r="AE13" s="155"/>
    </row>
    <row r="14" spans="1:31" ht="30" customHeight="1">
      <c r="A14" s="180" t="s">
        <v>106</v>
      </c>
      <c r="B14" s="180"/>
      <c r="C14" s="180"/>
      <c r="E14" s="158">
        <v>1102489</v>
      </c>
      <c r="G14" s="74">
        <v>16101748782</v>
      </c>
      <c r="I14" s="74">
        <v>11379442237.8321</v>
      </c>
      <c r="K14" s="3">
        <v>0</v>
      </c>
      <c r="M14" s="3">
        <v>0</v>
      </c>
      <c r="O14" s="25">
        <v>0</v>
      </c>
      <c r="Q14" s="74">
        <v>0</v>
      </c>
      <c r="S14" s="74">
        <v>1102489</v>
      </c>
      <c r="U14" s="159">
        <v>9282</v>
      </c>
      <c r="W14" s="74">
        <v>16101748782</v>
      </c>
      <c r="Y14" s="74">
        <v>10154199467</v>
      </c>
      <c r="AA14" s="160">
        <f t="shared" si="0"/>
        <v>0.39243429422534626</v>
      </c>
      <c r="AC14" s="27"/>
      <c r="AD14" s="171"/>
      <c r="AE14" s="155"/>
    </row>
    <row r="15" spans="1:31" ht="30" customHeight="1">
      <c r="A15" s="180" t="s">
        <v>105</v>
      </c>
      <c r="B15" s="180"/>
      <c r="C15" s="180"/>
      <c r="E15" s="162">
        <v>34892560</v>
      </c>
      <c r="G15" s="74">
        <v>332932344149</v>
      </c>
      <c r="I15" s="74">
        <v>337918923389.31201</v>
      </c>
      <c r="K15" s="7">
        <v>708359</v>
      </c>
      <c r="M15" s="7">
        <v>8183300451</v>
      </c>
      <c r="O15" s="25">
        <v>-635054</v>
      </c>
      <c r="Q15" s="74">
        <v>6713778417</v>
      </c>
      <c r="S15" s="74">
        <v>34965865</v>
      </c>
      <c r="U15" s="159">
        <v>9942</v>
      </c>
      <c r="W15" s="74">
        <v>335034717628</v>
      </c>
      <c r="Y15" s="74">
        <v>344943445061</v>
      </c>
      <c r="AA15" s="160">
        <f t="shared" si="0"/>
        <v>13.331197387849485</v>
      </c>
      <c r="AC15" s="27"/>
      <c r="AD15" s="171"/>
      <c r="AE15" s="155"/>
    </row>
    <row r="16" spans="1:31" ht="30" customHeight="1">
      <c r="A16" s="180" t="s">
        <v>124</v>
      </c>
      <c r="B16" s="180"/>
      <c r="C16" s="180"/>
      <c r="E16" s="158">
        <v>5586094</v>
      </c>
      <c r="G16" s="74">
        <v>106562015842</v>
      </c>
      <c r="I16" s="74">
        <v>107809667446.241</v>
      </c>
      <c r="K16" s="7">
        <v>387692</v>
      </c>
      <c r="M16" s="7">
        <v>8331395767</v>
      </c>
      <c r="O16" s="25">
        <v>-785909</v>
      </c>
      <c r="Q16" s="74">
        <v>16532260382</v>
      </c>
      <c r="S16" s="74">
        <v>5187877</v>
      </c>
      <c r="U16" s="159">
        <v>20850</v>
      </c>
      <c r="W16" s="74">
        <v>99901174223</v>
      </c>
      <c r="Y16" s="74">
        <v>107331102720</v>
      </c>
      <c r="AA16" s="160">
        <f t="shared" si="0"/>
        <v>4.148077421685274</v>
      </c>
      <c r="AC16" s="27"/>
      <c r="AD16" s="171"/>
      <c r="AE16" s="155"/>
    </row>
    <row r="17" spans="1:31" ht="30" customHeight="1">
      <c r="A17" s="180" t="s">
        <v>107</v>
      </c>
      <c r="B17" s="180"/>
      <c r="C17" s="180"/>
      <c r="E17" s="158">
        <v>27877583</v>
      </c>
      <c r="G17" s="74">
        <v>596013266812</v>
      </c>
      <c r="I17" s="74">
        <v>738577783867.047</v>
      </c>
      <c r="K17" s="7">
        <v>245967</v>
      </c>
      <c r="M17" s="7">
        <v>6634954637</v>
      </c>
      <c r="O17" s="25">
        <v>-131000</v>
      </c>
      <c r="Q17" s="74">
        <v>3585131075</v>
      </c>
      <c r="S17" s="74">
        <v>27992550</v>
      </c>
      <c r="U17" s="159">
        <v>27550</v>
      </c>
      <c r="W17" s="74">
        <v>599841075231</v>
      </c>
      <c r="Y17" s="74">
        <v>765233417063</v>
      </c>
      <c r="AA17" s="160">
        <f t="shared" si="0"/>
        <v>29.574348713428567</v>
      </c>
      <c r="AC17" s="27"/>
      <c r="AD17" s="171"/>
      <c r="AE17" s="155"/>
    </row>
    <row r="18" spans="1:31" ht="30" customHeight="1">
      <c r="A18" s="180" t="s">
        <v>103</v>
      </c>
      <c r="B18" s="180"/>
      <c r="C18" s="180"/>
      <c r="E18" s="161">
        <v>13792829</v>
      </c>
      <c r="G18" s="74">
        <v>201696140986</v>
      </c>
      <c r="I18" s="74">
        <v>221990333204.28299</v>
      </c>
      <c r="K18" s="7">
        <v>554317</v>
      </c>
      <c r="M18" s="7">
        <v>8784540036</v>
      </c>
      <c r="O18" s="25">
        <v>-1542661</v>
      </c>
      <c r="Q18" s="74">
        <v>21115952605</v>
      </c>
      <c r="S18" s="74">
        <v>12804485</v>
      </c>
      <c r="U18" s="159">
        <v>13090</v>
      </c>
      <c r="W18" s="74">
        <v>187848978678</v>
      </c>
      <c r="Y18" s="74">
        <v>166315077872</v>
      </c>
      <c r="AA18" s="160">
        <f t="shared" si="0"/>
        <v>6.4276598481096032</v>
      </c>
      <c r="AC18" s="27"/>
      <c r="AD18" s="171"/>
      <c r="AE18" s="155"/>
    </row>
    <row r="19" spans="1:31" ht="30" customHeight="1">
      <c r="A19" s="180" t="s">
        <v>125</v>
      </c>
      <c r="B19" s="180"/>
      <c r="C19" s="180"/>
      <c r="E19" s="158">
        <v>17974752</v>
      </c>
      <c r="G19" s="74">
        <v>103064245394</v>
      </c>
      <c r="I19" s="74">
        <v>104696188070.52499</v>
      </c>
      <c r="K19" s="7">
        <v>981210</v>
      </c>
      <c r="M19" s="7">
        <v>6058676326</v>
      </c>
      <c r="O19" s="25">
        <v>-552250</v>
      </c>
      <c r="Q19" s="74">
        <v>2934677779</v>
      </c>
      <c r="S19" s="74">
        <v>18403712</v>
      </c>
      <c r="U19" s="159">
        <v>4990</v>
      </c>
      <c r="W19" s="74">
        <v>105944748114</v>
      </c>
      <c r="Y19" s="74">
        <v>91124642018</v>
      </c>
      <c r="AA19" s="160">
        <f t="shared" si="0"/>
        <v>3.5217384386714614</v>
      </c>
      <c r="AC19" s="27"/>
      <c r="AD19" s="171"/>
      <c r="AE19" s="155"/>
    </row>
    <row r="20" spans="1:31" ht="30" customHeight="1">
      <c r="A20" s="180" t="s">
        <v>126</v>
      </c>
      <c r="B20" s="180"/>
      <c r="C20" s="180"/>
      <c r="E20" s="158">
        <v>1156410</v>
      </c>
      <c r="G20" s="74">
        <v>8644064112</v>
      </c>
      <c r="I20" s="74">
        <v>10143643204</v>
      </c>
      <c r="K20" s="7">
        <v>0</v>
      </c>
      <c r="M20" s="7">
        <v>0</v>
      </c>
      <c r="O20" s="25">
        <v>-1156410</v>
      </c>
      <c r="Q20" s="74">
        <v>10308665296</v>
      </c>
      <c r="S20" s="74">
        <v>0</v>
      </c>
      <c r="U20" s="159">
        <v>0</v>
      </c>
      <c r="W20" s="74">
        <v>0</v>
      </c>
      <c r="Y20" s="74">
        <v>0</v>
      </c>
      <c r="AA20" s="160">
        <f t="shared" si="0"/>
        <v>0</v>
      </c>
      <c r="AC20" s="27"/>
      <c r="AD20" s="171"/>
      <c r="AE20" s="155"/>
    </row>
    <row r="21" spans="1:31" ht="30" hidden="1" customHeight="1">
      <c r="A21" s="178" t="s">
        <v>130</v>
      </c>
      <c r="B21" s="178"/>
      <c r="C21" s="178"/>
      <c r="E21" s="158">
        <v>0</v>
      </c>
      <c r="G21" s="74">
        <v>0</v>
      </c>
      <c r="I21" s="74">
        <v>0</v>
      </c>
      <c r="K21" s="74">
        <v>0</v>
      </c>
      <c r="M21" s="74">
        <v>0</v>
      </c>
      <c r="O21" s="25">
        <v>0</v>
      </c>
      <c r="Q21" s="74">
        <v>0</v>
      </c>
      <c r="S21" s="74">
        <v>0</v>
      </c>
      <c r="U21" s="159">
        <v>0</v>
      </c>
      <c r="W21" s="74">
        <v>0</v>
      </c>
      <c r="Y21" s="74">
        <v>0</v>
      </c>
      <c r="AA21" s="160">
        <f t="shared" si="0"/>
        <v>0</v>
      </c>
      <c r="AC21" s="27"/>
      <c r="AD21" s="171"/>
      <c r="AE21" s="155"/>
    </row>
    <row r="22" spans="1:31" ht="30" customHeight="1">
      <c r="A22" s="195" t="s">
        <v>133</v>
      </c>
      <c r="B22" s="195"/>
      <c r="C22" s="195"/>
      <c r="E22" s="158">
        <v>10464416</v>
      </c>
      <c r="G22" s="74">
        <v>150234511320</v>
      </c>
      <c r="I22" s="74">
        <v>178700483566.94699</v>
      </c>
      <c r="K22" s="7">
        <v>1179187</v>
      </c>
      <c r="M22" s="7">
        <v>21712185200</v>
      </c>
      <c r="O22" s="25">
        <v>-5896640</v>
      </c>
      <c r="Q22" s="74">
        <v>101796959805</v>
      </c>
      <c r="S22" s="74">
        <v>5746963</v>
      </c>
      <c r="U22" s="159">
        <v>18370</v>
      </c>
      <c r="W22" s="74">
        <v>87290388048</v>
      </c>
      <c r="Y22" s="74">
        <v>104755640989</v>
      </c>
      <c r="AA22" s="160">
        <f t="shared" si="0"/>
        <v>4.0485422973267235</v>
      </c>
      <c r="AC22" s="27"/>
      <c r="AD22" s="171"/>
      <c r="AE22" s="155"/>
    </row>
    <row r="23" spans="1:31" ht="30" hidden="1" customHeight="1">
      <c r="A23" s="178" t="s">
        <v>129</v>
      </c>
      <c r="B23" s="178"/>
      <c r="C23" s="178"/>
      <c r="E23" s="158">
        <v>0</v>
      </c>
      <c r="G23" s="74">
        <v>0</v>
      </c>
      <c r="I23" s="74">
        <v>0</v>
      </c>
      <c r="K23" s="74"/>
      <c r="M23" s="74"/>
      <c r="S23" s="74">
        <v>0</v>
      </c>
      <c r="U23" s="159">
        <v>0</v>
      </c>
      <c r="W23" s="74">
        <v>0</v>
      </c>
      <c r="Y23" s="74">
        <v>0</v>
      </c>
      <c r="AA23" s="160">
        <f t="shared" si="0"/>
        <v>0</v>
      </c>
      <c r="AC23" s="27"/>
      <c r="AD23" s="171"/>
      <c r="AE23" s="155"/>
    </row>
    <row r="24" spans="1:31" ht="30" customHeight="1">
      <c r="A24" s="178" t="s">
        <v>134</v>
      </c>
      <c r="B24" s="178"/>
      <c r="C24" s="178"/>
      <c r="E24" s="158">
        <v>8590080</v>
      </c>
      <c r="G24" s="74">
        <v>17530471961</v>
      </c>
      <c r="I24" s="74">
        <v>18121340877.0816</v>
      </c>
      <c r="K24" s="7">
        <v>10002799</v>
      </c>
      <c r="M24" s="7">
        <v>26075567052</v>
      </c>
      <c r="O24" s="25">
        <v>-9386375</v>
      </c>
      <c r="Q24" s="74">
        <v>24788505848</v>
      </c>
      <c r="S24" s="74">
        <v>9206504</v>
      </c>
      <c r="U24" s="159">
        <v>2280</v>
      </c>
      <c r="W24" s="74">
        <v>21592093004</v>
      </c>
      <c r="Y24" s="74">
        <v>20828570011</v>
      </c>
      <c r="AA24" s="160">
        <f t="shared" si="0"/>
        <v>0.80497189350613707</v>
      </c>
      <c r="AC24" s="27"/>
      <c r="AD24" s="171"/>
      <c r="AE24" s="155"/>
    </row>
    <row r="25" spans="1:31" ht="30" customHeight="1">
      <c r="A25" s="178" t="s">
        <v>135</v>
      </c>
      <c r="B25" s="178"/>
      <c r="C25" s="178"/>
      <c r="E25" s="162">
        <v>8947022</v>
      </c>
      <c r="G25" s="74">
        <v>46433893973</v>
      </c>
      <c r="I25" s="74">
        <v>61168465872.386597</v>
      </c>
      <c r="K25" s="7">
        <v>0</v>
      </c>
      <c r="M25" s="7">
        <v>0</v>
      </c>
      <c r="O25" s="25">
        <v>-2687262</v>
      </c>
      <c r="Q25" s="74">
        <v>24185399440</v>
      </c>
      <c r="S25" s="74">
        <v>6259760</v>
      </c>
      <c r="U25" s="74">
        <v>9940</v>
      </c>
      <c r="W25" s="74">
        <v>32487349666</v>
      </c>
      <c r="Y25" s="74">
        <v>61741038229</v>
      </c>
      <c r="Z25" s="7"/>
      <c r="AA25" s="160">
        <f t="shared" si="0"/>
        <v>2.3861359864832501</v>
      </c>
      <c r="AD25" s="171"/>
      <c r="AE25" s="155"/>
    </row>
    <row r="26" spans="1:31" ht="30" customHeight="1">
      <c r="A26" s="178" t="s">
        <v>136</v>
      </c>
      <c r="B26" s="178"/>
      <c r="C26" s="178"/>
      <c r="E26" s="162">
        <v>8006821</v>
      </c>
      <c r="G26" s="74">
        <v>7952869997</v>
      </c>
      <c r="I26" s="74">
        <v>7420563007.6077805</v>
      </c>
      <c r="K26" s="7">
        <v>0</v>
      </c>
      <c r="M26" s="7">
        <v>0</v>
      </c>
      <c r="O26" s="25">
        <v>-300000</v>
      </c>
      <c r="Q26" s="74">
        <v>286666811</v>
      </c>
      <c r="S26" s="74">
        <v>7706821</v>
      </c>
      <c r="U26" s="74">
        <v>967</v>
      </c>
      <c r="W26" s="74">
        <v>7654891436</v>
      </c>
      <c r="Y26" s="74">
        <v>7394888114</v>
      </c>
      <c r="Z26" s="7"/>
      <c r="AA26" s="160">
        <f t="shared" si="0"/>
        <v>0.28579384394842638</v>
      </c>
      <c r="AD26" s="171"/>
      <c r="AE26" s="155"/>
    </row>
    <row r="27" spans="1:31" ht="30" customHeight="1">
      <c r="A27" s="178" t="s">
        <v>137</v>
      </c>
      <c r="B27" s="178"/>
      <c r="C27" s="178"/>
      <c r="E27" s="162">
        <v>25279540</v>
      </c>
      <c r="G27" s="74">
        <v>133597292090</v>
      </c>
      <c r="I27" s="74">
        <v>137711869065.34201</v>
      </c>
      <c r="K27" s="7">
        <v>3747032</v>
      </c>
      <c r="M27" s="7">
        <v>25385446701</v>
      </c>
      <c r="O27" s="25">
        <v>-3394952</v>
      </c>
      <c r="Q27" s="74">
        <v>21563175425</v>
      </c>
      <c r="S27" s="74">
        <v>25631620</v>
      </c>
      <c r="U27" s="74">
        <v>6770</v>
      </c>
      <c r="W27" s="74">
        <v>140999027326</v>
      </c>
      <c r="Y27" s="74">
        <v>172184710899</v>
      </c>
      <c r="Z27" s="7"/>
      <c r="AA27" s="160">
        <f t="shared" si="0"/>
        <v>6.6545064155616673</v>
      </c>
      <c r="AD27" s="171"/>
      <c r="AE27" s="155"/>
    </row>
    <row r="28" spans="1:31" ht="30" customHeight="1">
      <c r="A28" s="178" t="s">
        <v>138</v>
      </c>
      <c r="B28" s="178"/>
      <c r="C28" s="178"/>
      <c r="E28" s="162">
        <v>53682932</v>
      </c>
      <c r="G28" s="74">
        <v>109804712168</v>
      </c>
      <c r="I28" s="74">
        <v>108773180314.577</v>
      </c>
      <c r="K28" s="7">
        <v>7102176</v>
      </c>
      <c r="M28" s="7">
        <v>13626699303</v>
      </c>
      <c r="O28" s="25">
        <v>-7060021</v>
      </c>
      <c r="Q28" s="74">
        <v>14743187439</v>
      </c>
      <c r="S28" s="74">
        <v>53725087</v>
      </c>
      <c r="U28" s="74">
        <v>1971</v>
      </c>
      <c r="W28" s="74">
        <v>108990628436</v>
      </c>
      <c r="Y28" s="74">
        <v>105073600185</v>
      </c>
      <c r="Z28" s="7"/>
      <c r="AA28" s="160">
        <f t="shared" si="0"/>
        <v>4.0608306212935945</v>
      </c>
      <c r="AD28" s="171"/>
      <c r="AE28" s="155"/>
    </row>
    <row r="29" spans="1:31" ht="30" customHeight="1">
      <c r="A29" s="178" t="s">
        <v>156</v>
      </c>
      <c r="B29" s="178"/>
      <c r="C29" s="178"/>
      <c r="E29" s="162">
        <v>0</v>
      </c>
      <c r="G29" s="74">
        <v>0</v>
      </c>
      <c r="I29" s="74">
        <v>0</v>
      </c>
      <c r="K29" s="7">
        <v>8621823</v>
      </c>
      <c r="M29" s="7">
        <v>69926957112</v>
      </c>
      <c r="O29" s="25">
        <v>-2600000</v>
      </c>
      <c r="Q29" s="74">
        <v>19400863131</v>
      </c>
      <c r="S29" s="74">
        <v>6021823</v>
      </c>
      <c r="U29" s="74">
        <v>8240</v>
      </c>
      <c r="W29" s="74">
        <v>48810853290</v>
      </c>
      <c r="Y29" s="74">
        <v>49236260300</v>
      </c>
      <c r="Z29" s="7"/>
      <c r="AA29" s="160">
        <f t="shared" si="0"/>
        <v>1.9028577411661296</v>
      </c>
      <c r="AD29" s="171"/>
      <c r="AE29" s="155"/>
    </row>
    <row r="30" spans="1:31" ht="30" customHeight="1">
      <c r="A30" s="178" t="s">
        <v>158</v>
      </c>
      <c r="B30" s="178"/>
      <c r="C30" s="178"/>
      <c r="E30" s="162">
        <v>0</v>
      </c>
      <c r="G30" s="74">
        <v>0</v>
      </c>
      <c r="I30" s="74">
        <v>0</v>
      </c>
      <c r="K30" s="7">
        <v>20000</v>
      </c>
      <c r="M30" s="7">
        <v>238113365</v>
      </c>
      <c r="O30" s="25">
        <v>-20000</v>
      </c>
      <c r="Q30" s="74">
        <v>235457200</v>
      </c>
      <c r="S30" s="74">
        <v>0</v>
      </c>
      <c r="U30" s="74">
        <v>0</v>
      </c>
      <c r="W30" s="74">
        <v>0</v>
      </c>
      <c r="Y30" s="74">
        <v>0</v>
      </c>
      <c r="Z30" s="7"/>
      <c r="AA30" s="160">
        <f t="shared" si="0"/>
        <v>0</v>
      </c>
      <c r="AD30" s="171"/>
      <c r="AE30" s="155"/>
    </row>
    <row r="31" spans="1:31" ht="30" customHeight="1">
      <c r="A31" s="180" t="s">
        <v>131</v>
      </c>
      <c r="B31" s="180"/>
      <c r="C31" s="180"/>
      <c r="E31" s="162">
        <v>306168</v>
      </c>
      <c r="G31" s="74">
        <v>21869616215</v>
      </c>
      <c r="I31" s="74">
        <v>19700441193.599998</v>
      </c>
      <c r="K31" s="7">
        <v>20000</v>
      </c>
      <c r="M31" s="7">
        <v>1343416480</v>
      </c>
      <c r="O31" s="25">
        <v>-326168</v>
      </c>
      <c r="Q31" s="74">
        <v>20711773222</v>
      </c>
      <c r="S31" s="74">
        <v>0</v>
      </c>
      <c r="U31" s="74">
        <v>0</v>
      </c>
      <c r="W31" s="74">
        <v>0</v>
      </c>
      <c r="Y31" s="74">
        <v>0</v>
      </c>
      <c r="Z31" s="7"/>
      <c r="AA31" s="160">
        <f t="shared" si="0"/>
        <v>0</v>
      </c>
      <c r="AD31" s="171"/>
      <c r="AE31" s="155"/>
    </row>
    <row r="32" spans="1:31" ht="30" customHeight="1">
      <c r="A32" s="180" t="s">
        <v>132</v>
      </c>
      <c r="B32" s="180"/>
      <c r="C32" s="180"/>
      <c r="E32" s="162">
        <v>299559</v>
      </c>
      <c r="G32" s="74">
        <v>21431187610</v>
      </c>
      <c r="I32" s="74">
        <v>19394719790.16</v>
      </c>
      <c r="K32" s="7">
        <v>0</v>
      </c>
      <c r="M32" s="7">
        <v>0</v>
      </c>
      <c r="O32" s="25">
        <v>-299559</v>
      </c>
      <c r="Q32" s="74">
        <v>19206030276</v>
      </c>
      <c r="S32" s="74">
        <v>0</v>
      </c>
      <c r="U32" s="74">
        <v>0</v>
      </c>
      <c r="W32" s="74">
        <v>0</v>
      </c>
      <c r="Y32" s="74">
        <v>0</v>
      </c>
      <c r="Z32" s="7"/>
      <c r="AA32" s="160">
        <f t="shared" si="0"/>
        <v>0</v>
      </c>
      <c r="AD32" s="171"/>
      <c r="AE32" s="155"/>
    </row>
    <row r="33" spans="1:31" ht="30" hidden="1" customHeight="1">
      <c r="A33" s="180" t="s">
        <v>127</v>
      </c>
      <c r="B33" s="180"/>
      <c r="C33" s="180"/>
      <c r="E33" s="162">
        <v>0</v>
      </c>
      <c r="G33" s="74">
        <v>0</v>
      </c>
      <c r="I33" s="74">
        <v>0</v>
      </c>
      <c r="K33" s="7"/>
      <c r="M33" s="7"/>
      <c r="S33" s="74">
        <v>0</v>
      </c>
      <c r="U33" s="74">
        <v>0</v>
      </c>
      <c r="W33" s="74">
        <v>0</v>
      </c>
      <c r="Y33" s="74">
        <v>0</v>
      </c>
      <c r="Z33" s="7"/>
      <c r="AA33" s="160"/>
      <c r="AD33" s="171"/>
      <c r="AE33" s="155"/>
    </row>
    <row r="34" spans="1:31" ht="30" hidden="1" customHeight="1">
      <c r="A34" s="180" t="s">
        <v>128</v>
      </c>
      <c r="B34" s="180"/>
      <c r="C34" s="180"/>
      <c r="E34" s="162">
        <v>0</v>
      </c>
      <c r="G34" s="74">
        <v>0</v>
      </c>
      <c r="I34" s="74">
        <v>0</v>
      </c>
      <c r="K34" s="7"/>
      <c r="M34" s="7"/>
      <c r="S34" s="74">
        <v>0</v>
      </c>
      <c r="U34" s="74">
        <v>0</v>
      </c>
      <c r="W34" s="74">
        <v>0</v>
      </c>
      <c r="Y34" s="74">
        <v>0</v>
      </c>
      <c r="Z34" s="7"/>
      <c r="AA34" s="160"/>
      <c r="AD34" s="171"/>
      <c r="AE34" s="155"/>
    </row>
    <row r="35" spans="1:31" ht="30" hidden="1" customHeight="1">
      <c r="A35" s="178"/>
      <c r="B35" s="178"/>
      <c r="C35" s="178"/>
      <c r="E35" s="162">
        <v>0</v>
      </c>
      <c r="G35" s="74">
        <v>0</v>
      </c>
      <c r="I35" s="74">
        <v>0</v>
      </c>
      <c r="K35" s="7">
        <v>0</v>
      </c>
      <c r="M35" s="7"/>
      <c r="S35" s="25"/>
      <c r="Z35" s="7"/>
      <c r="AA35" s="163"/>
      <c r="AD35" s="171"/>
      <c r="AE35" s="155"/>
    </row>
    <row r="36" spans="1:31" ht="30" hidden="1" customHeight="1">
      <c r="A36" s="178"/>
      <c r="B36" s="178"/>
      <c r="C36" s="178"/>
      <c r="E36" s="162">
        <v>0</v>
      </c>
      <c r="G36" s="74">
        <v>0</v>
      </c>
      <c r="I36" s="74">
        <v>0</v>
      </c>
      <c r="K36" s="7">
        <v>0</v>
      </c>
      <c r="M36" s="7"/>
      <c r="S36" s="25"/>
      <c r="Z36" s="7"/>
      <c r="AA36" s="163"/>
      <c r="AD36" s="171"/>
      <c r="AE36" s="155"/>
    </row>
    <row r="37" spans="1:31" ht="30" hidden="1" customHeight="1">
      <c r="A37" s="178"/>
      <c r="B37" s="178"/>
      <c r="C37" s="178"/>
      <c r="E37" s="162">
        <v>0</v>
      </c>
      <c r="G37" s="74">
        <v>0</v>
      </c>
      <c r="I37" s="74">
        <v>0</v>
      </c>
      <c r="K37" s="7">
        <v>0</v>
      </c>
      <c r="L37" s="7"/>
      <c r="M37" s="7"/>
      <c r="P37" s="164"/>
      <c r="S37" s="25"/>
      <c r="Z37" s="7"/>
      <c r="AA37" s="163"/>
      <c r="AD37" s="171"/>
      <c r="AE37" s="155"/>
    </row>
    <row r="38" spans="1:31" ht="30" hidden="1" customHeight="1">
      <c r="A38" s="178"/>
      <c r="B38" s="178"/>
      <c r="C38" s="178"/>
      <c r="E38" s="162">
        <v>0</v>
      </c>
      <c r="G38" s="74">
        <v>0</v>
      </c>
      <c r="I38" s="74">
        <v>0</v>
      </c>
      <c r="K38" s="7">
        <v>0</v>
      </c>
      <c r="M38" s="7"/>
      <c r="P38" s="164"/>
      <c r="S38" s="25"/>
      <c r="Z38" s="7"/>
      <c r="AA38" s="163"/>
      <c r="AD38" s="171"/>
      <c r="AE38" s="155"/>
    </row>
    <row r="39" spans="1:31" ht="30" hidden="1" customHeight="1">
      <c r="A39" s="178"/>
      <c r="B39" s="178"/>
      <c r="C39" s="178"/>
      <c r="E39" s="162">
        <v>0</v>
      </c>
      <c r="G39" s="74">
        <v>0</v>
      </c>
      <c r="I39" s="74">
        <v>0</v>
      </c>
      <c r="K39" s="7">
        <v>0</v>
      </c>
      <c r="M39" s="7"/>
      <c r="P39" s="164"/>
      <c r="S39" s="25"/>
      <c r="Z39" s="7"/>
      <c r="AA39" s="163"/>
      <c r="AD39" s="171"/>
      <c r="AE39" s="155"/>
    </row>
    <row r="40" spans="1:31" ht="30" hidden="1" customHeight="1">
      <c r="A40" s="178"/>
      <c r="B40" s="178"/>
      <c r="C40" s="178"/>
      <c r="E40" s="162">
        <v>0</v>
      </c>
      <c r="G40" s="74">
        <v>0</v>
      </c>
      <c r="I40" s="74">
        <v>0</v>
      </c>
      <c r="K40" s="7">
        <v>0</v>
      </c>
      <c r="M40" s="7"/>
      <c r="P40" s="164"/>
      <c r="S40" s="25"/>
      <c r="Z40" s="7"/>
      <c r="AA40" s="163"/>
      <c r="AD40" s="171"/>
      <c r="AE40" s="155"/>
    </row>
    <row r="41" spans="1:31" ht="30" hidden="1" customHeight="1">
      <c r="A41" s="178"/>
      <c r="B41" s="178"/>
      <c r="C41" s="178"/>
      <c r="E41" s="162">
        <v>0</v>
      </c>
      <c r="G41" s="74">
        <v>0</v>
      </c>
      <c r="I41" s="74">
        <v>0</v>
      </c>
      <c r="K41" s="7">
        <v>0</v>
      </c>
      <c r="L41" s="7"/>
      <c r="M41" s="7"/>
      <c r="P41" s="164"/>
      <c r="S41" s="25"/>
      <c r="Z41" s="7"/>
      <c r="AA41" s="163"/>
      <c r="AD41" s="171"/>
      <c r="AE41" s="155"/>
    </row>
    <row r="42" spans="1:31" ht="30" hidden="1" customHeight="1">
      <c r="A42" s="178"/>
      <c r="B42" s="178"/>
      <c r="C42" s="178"/>
      <c r="E42" s="162">
        <v>0</v>
      </c>
      <c r="G42" s="74">
        <v>0</v>
      </c>
      <c r="I42" s="74">
        <v>0</v>
      </c>
      <c r="K42" s="7">
        <v>0</v>
      </c>
      <c r="P42" s="164"/>
      <c r="S42" s="25"/>
      <c r="Z42" s="7"/>
      <c r="AA42" s="163"/>
      <c r="AD42" s="171"/>
      <c r="AE42" s="155"/>
    </row>
    <row r="43" spans="1:31" ht="30" hidden="1" customHeight="1">
      <c r="A43" s="178"/>
      <c r="B43" s="178"/>
      <c r="C43" s="178"/>
      <c r="E43" s="162">
        <v>0</v>
      </c>
      <c r="G43" s="74">
        <v>0</v>
      </c>
      <c r="I43" s="74">
        <v>0</v>
      </c>
      <c r="K43" s="7">
        <v>0</v>
      </c>
      <c r="P43" s="164"/>
      <c r="R43" s="7"/>
      <c r="S43" s="25"/>
      <c r="T43" s="7"/>
      <c r="Z43" s="7"/>
      <c r="AA43" s="163"/>
      <c r="AD43" s="171"/>
      <c r="AE43" s="155"/>
    </row>
    <row r="44" spans="1:31" ht="30" hidden="1" customHeight="1">
      <c r="A44" s="178"/>
      <c r="B44" s="178"/>
      <c r="C44" s="178"/>
      <c r="E44" s="162">
        <v>0</v>
      </c>
      <c r="G44" s="74">
        <v>0</v>
      </c>
      <c r="I44" s="74">
        <v>0</v>
      </c>
      <c r="K44" s="7">
        <v>0</v>
      </c>
      <c r="M44" s="7"/>
      <c r="P44" s="164"/>
      <c r="S44" s="25"/>
      <c r="Z44" s="7"/>
      <c r="AA44" s="163"/>
      <c r="AD44" s="171"/>
      <c r="AE44" s="155"/>
    </row>
    <row r="45" spans="1:31" ht="30" hidden="1" customHeight="1">
      <c r="A45" s="178"/>
      <c r="B45" s="178"/>
      <c r="C45" s="178"/>
      <c r="E45" s="162">
        <v>0</v>
      </c>
      <c r="G45" s="74">
        <v>0</v>
      </c>
      <c r="I45" s="74">
        <v>0</v>
      </c>
      <c r="K45" s="165">
        <v>0</v>
      </c>
      <c r="M45" s="7"/>
      <c r="P45" s="164"/>
      <c r="S45" s="25"/>
      <c r="Z45" s="7"/>
      <c r="AA45" s="163"/>
      <c r="AD45" s="171"/>
      <c r="AE45" s="155"/>
    </row>
    <row r="46" spans="1:31" ht="30" hidden="1" customHeight="1">
      <c r="A46" s="178"/>
      <c r="B46" s="178"/>
      <c r="C46" s="178"/>
      <c r="E46" s="162">
        <v>0</v>
      </c>
      <c r="G46" s="74">
        <v>0</v>
      </c>
      <c r="I46" s="74">
        <v>0</v>
      </c>
      <c r="K46" s="7">
        <v>0</v>
      </c>
      <c r="M46" s="7"/>
      <c r="P46" s="164"/>
      <c r="S46" s="25"/>
      <c r="Z46" s="7"/>
      <c r="AA46" s="163"/>
      <c r="AD46" s="171"/>
      <c r="AE46" s="155"/>
    </row>
    <row r="47" spans="1:31" ht="30" hidden="1" customHeight="1">
      <c r="A47" s="178"/>
      <c r="B47" s="178"/>
      <c r="C47" s="178"/>
      <c r="E47" s="162">
        <v>0</v>
      </c>
      <c r="G47" s="74">
        <v>0</v>
      </c>
      <c r="I47" s="74">
        <v>0</v>
      </c>
      <c r="K47" s="7"/>
      <c r="L47" s="7"/>
      <c r="M47" s="7"/>
      <c r="N47" s="7"/>
      <c r="S47" s="25"/>
      <c r="Z47" s="7"/>
      <c r="AA47" s="163"/>
      <c r="AD47" s="171"/>
      <c r="AE47" s="155"/>
    </row>
    <row r="48" spans="1:31" ht="30" hidden="1" customHeight="1">
      <c r="A48" s="178"/>
      <c r="B48" s="178"/>
      <c r="C48" s="178"/>
      <c r="E48" s="162">
        <v>0</v>
      </c>
      <c r="G48" s="74">
        <v>0</v>
      </c>
      <c r="I48" s="74">
        <v>0</v>
      </c>
      <c r="K48" s="7"/>
      <c r="M48" s="7"/>
      <c r="S48" s="25"/>
      <c r="Z48" s="7"/>
      <c r="AA48" s="163"/>
      <c r="AD48" s="171"/>
      <c r="AE48" s="155"/>
    </row>
    <row r="49" spans="1:31" ht="30" hidden="1" customHeight="1">
      <c r="A49" s="178"/>
      <c r="B49" s="178"/>
      <c r="C49" s="178"/>
      <c r="E49" s="162">
        <v>0</v>
      </c>
      <c r="G49" s="74">
        <v>0</v>
      </c>
      <c r="I49" s="74">
        <v>0</v>
      </c>
      <c r="K49" s="7">
        <v>0</v>
      </c>
      <c r="M49" s="7"/>
      <c r="S49" s="25"/>
      <c r="Z49" s="7"/>
      <c r="AA49" s="163"/>
      <c r="AD49" s="171"/>
      <c r="AE49" s="155"/>
    </row>
    <row r="50" spans="1:31" ht="30" hidden="1" customHeight="1">
      <c r="A50" s="178"/>
      <c r="B50" s="178"/>
      <c r="C50" s="178"/>
      <c r="E50" s="162">
        <v>0</v>
      </c>
      <c r="G50" s="74">
        <v>0</v>
      </c>
      <c r="I50" s="74">
        <v>0</v>
      </c>
      <c r="K50" s="166">
        <v>0</v>
      </c>
      <c r="M50" s="166"/>
      <c r="S50" s="25"/>
      <c r="Z50" s="7"/>
      <c r="AA50" s="163"/>
      <c r="AD50" s="171"/>
      <c r="AE50" s="155"/>
    </row>
    <row r="51" spans="1:31" ht="30" hidden="1" customHeight="1">
      <c r="A51" s="178"/>
      <c r="B51" s="178"/>
      <c r="C51" s="178"/>
      <c r="E51" s="162">
        <v>0</v>
      </c>
      <c r="G51" s="74">
        <v>0</v>
      </c>
      <c r="I51" s="74">
        <v>0</v>
      </c>
      <c r="K51" s="7">
        <v>0</v>
      </c>
      <c r="S51" s="25"/>
      <c r="X51" s="74">
        <v>11881662369</v>
      </c>
      <c r="Z51" s="7"/>
      <c r="AA51" s="163"/>
      <c r="AD51" s="171"/>
      <c r="AE51" s="155"/>
    </row>
    <row r="52" spans="1:31" ht="30" hidden="1" customHeight="1">
      <c r="A52" s="178"/>
      <c r="B52" s="178"/>
      <c r="C52" s="178"/>
      <c r="E52" s="162">
        <v>0</v>
      </c>
      <c r="G52" s="74">
        <v>0</v>
      </c>
      <c r="I52" s="74">
        <v>0</v>
      </c>
      <c r="K52" s="7"/>
      <c r="M52" s="7"/>
      <c r="S52" s="25"/>
      <c r="Z52" s="7"/>
      <c r="AA52" s="163"/>
      <c r="AD52" s="171"/>
      <c r="AE52" s="155"/>
    </row>
    <row r="53" spans="1:31" ht="30" hidden="1" customHeight="1">
      <c r="A53" s="178"/>
      <c r="B53" s="178"/>
      <c r="C53" s="178"/>
      <c r="E53" s="162">
        <v>0</v>
      </c>
      <c r="G53" s="74">
        <v>0</v>
      </c>
      <c r="I53" s="74">
        <v>0</v>
      </c>
      <c r="K53" s="7">
        <v>0</v>
      </c>
      <c r="M53" s="7"/>
      <c r="S53" s="25"/>
      <c r="Z53" s="7"/>
      <c r="AA53" s="163"/>
      <c r="AD53" s="171"/>
      <c r="AE53" s="155"/>
    </row>
    <row r="54" spans="1:31" ht="30" hidden="1" customHeight="1">
      <c r="A54" s="178"/>
      <c r="B54" s="178"/>
      <c r="C54" s="178"/>
      <c r="E54" s="162">
        <v>0</v>
      </c>
      <c r="G54" s="74">
        <v>0</v>
      </c>
      <c r="I54" s="74">
        <v>0</v>
      </c>
      <c r="K54" s="7">
        <v>0</v>
      </c>
      <c r="M54" s="7"/>
      <c r="S54" s="25"/>
      <c r="Z54" s="7"/>
      <c r="AA54" s="163"/>
      <c r="AD54" s="171"/>
      <c r="AE54" s="155"/>
    </row>
    <row r="55" spans="1:31" ht="30" hidden="1" customHeight="1">
      <c r="A55" s="178"/>
      <c r="B55" s="178"/>
      <c r="C55" s="178"/>
      <c r="E55" s="162">
        <v>0</v>
      </c>
      <c r="G55" s="74">
        <v>0</v>
      </c>
      <c r="I55" s="74">
        <v>0</v>
      </c>
      <c r="K55" s="7">
        <v>0</v>
      </c>
      <c r="S55" s="25"/>
      <c r="Z55" s="7"/>
      <c r="AA55" s="163"/>
      <c r="AD55" s="171"/>
      <c r="AE55" s="155"/>
    </row>
    <row r="56" spans="1:31" ht="30" hidden="1" customHeight="1">
      <c r="A56" s="178"/>
      <c r="B56" s="178"/>
      <c r="C56" s="178"/>
      <c r="E56" s="162">
        <v>0</v>
      </c>
      <c r="G56" s="74">
        <v>0</v>
      </c>
      <c r="I56" s="74">
        <v>0</v>
      </c>
      <c r="K56" s="7">
        <v>0</v>
      </c>
      <c r="M56" s="7"/>
      <c r="S56" s="25"/>
      <c r="Z56" s="7"/>
      <c r="AA56" s="163"/>
      <c r="AD56" s="171"/>
      <c r="AE56" s="155"/>
    </row>
    <row r="57" spans="1:31" ht="30" hidden="1" customHeight="1">
      <c r="A57" s="178"/>
      <c r="B57" s="178"/>
      <c r="C57" s="178"/>
      <c r="E57" s="162">
        <v>0</v>
      </c>
      <c r="G57" s="74">
        <v>0</v>
      </c>
      <c r="I57" s="74">
        <v>0</v>
      </c>
      <c r="K57" s="7">
        <v>0</v>
      </c>
      <c r="M57" s="7"/>
      <c r="S57" s="25"/>
      <c r="Z57" s="7"/>
      <c r="AA57" s="163"/>
      <c r="AD57" s="171"/>
      <c r="AE57" s="155"/>
    </row>
    <row r="58" spans="1:31" ht="30" hidden="1" customHeight="1">
      <c r="A58" s="178"/>
      <c r="B58" s="178"/>
      <c r="C58" s="178"/>
      <c r="E58" s="162">
        <v>0</v>
      </c>
      <c r="G58" s="74">
        <v>0</v>
      </c>
      <c r="I58" s="74">
        <v>0</v>
      </c>
      <c r="K58" s="7">
        <v>0</v>
      </c>
      <c r="M58" s="7"/>
      <c r="S58" s="25"/>
      <c r="Z58" s="7"/>
      <c r="AA58" s="163"/>
      <c r="AD58" s="171"/>
      <c r="AE58" s="155"/>
    </row>
    <row r="59" spans="1:31" ht="30" hidden="1" customHeight="1">
      <c r="A59" s="179"/>
      <c r="B59" s="179"/>
      <c r="C59" s="179"/>
      <c r="D59" s="47"/>
      <c r="E59" s="162">
        <v>0</v>
      </c>
      <c r="F59" s="47"/>
      <c r="G59" s="74">
        <v>0</v>
      </c>
      <c r="H59" s="167"/>
      <c r="I59" s="74">
        <v>0</v>
      </c>
      <c r="J59" s="47"/>
      <c r="K59" s="48"/>
      <c r="L59" s="48"/>
      <c r="M59" s="48"/>
      <c r="N59" s="48"/>
      <c r="P59" s="47"/>
      <c r="R59" s="47"/>
      <c r="S59" s="25"/>
      <c r="T59" s="47"/>
      <c r="Z59" s="7"/>
      <c r="AA59" s="163"/>
      <c r="AD59" s="171"/>
      <c r="AE59" s="155"/>
    </row>
    <row r="60" spans="1:31" ht="30" hidden="1" customHeight="1">
      <c r="A60" s="179"/>
      <c r="B60" s="179"/>
      <c r="C60" s="179"/>
      <c r="D60" s="47"/>
      <c r="E60" s="162">
        <v>0</v>
      </c>
      <c r="F60" s="47"/>
      <c r="G60" s="74">
        <v>0</v>
      </c>
      <c r="H60" s="167"/>
      <c r="I60" s="74">
        <v>0</v>
      </c>
      <c r="J60" s="47"/>
      <c r="K60" s="48">
        <v>0</v>
      </c>
      <c r="L60" s="47"/>
      <c r="M60" s="48"/>
      <c r="N60" s="47"/>
      <c r="P60" s="47"/>
      <c r="R60" s="47"/>
      <c r="S60" s="25"/>
      <c r="T60" s="47"/>
      <c r="Z60" s="7"/>
      <c r="AA60" s="163"/>
      <c r="AD60" s="171"/>
      <c r="AE60" s="155"/>
    </row>
    <row r="61" spans="1:31" ht="30" customHeight="1" thickBot="1">
      <c r="A61" s="176" t="s">
        <v>14</v>
      </c>
      <c r="B61" s="176"/>
      <c r="C61" s="176"/>
      <c r="D61" s="176"/>
      <c r="E61" s="168">
        <f>SUM(E9:E34)</f>
        <v>345534270</v>
      </c>
      <c r="F61" s="14"/>
      <c r="G61" s="169">
        <f>SUM(G9:G34)</f>
        <v>2414977741872</v>
      </c>
      <c r="I61" s="169">
        <f>SUM(I9:I34)</f>
        <v>2656475270267.4771</v>
      </c>
      <c r="J61" s="14"/>
      <c r="K61" s="21">
        <f>SUM(K9:K32)</f>
        <v>35470562</v>
      </c>
      <c r="L61" s="14"/>
      <c r="M61" s="21">
        <f>SUM(M9:M34)</f>
        <v>239409542676</v>
      </c>
      <c r="N61" s="14"/>
      <c r="O61" s="26">
        <f>SUM(O9:O34)</f>
        <v>-57798745</v>
      </c>
      <c r="P61" s="14"/>
      <c r="Q61" s="169">
        <f>SUM(Q9:Q34)</f>
        <v>388160927963</v>
      </c>
      <c r="R61" s="14"/>
      <c r="S61" s="21">
        <f>SUM(S9:S34)</f>
        <v>323206087</v>
      </c>
      <c r="T61" s="14"/>
      <c r="W61" s="169">
        <f>SUM(W9:W34)</f>
        <v>2300063314564</v>
      </c>
      <c r="Y61" s="169">
        <f>SUM(Y9:Y34)</f>
        <v>2518633296535</v>
      </c>
      <c r="Z61" s="14"/>
      <c r="AA61" s="170">
        <f>SUM(AA9:AA34)</f>
        <v>97.338848163299531</v>
      </c>
      <c r="AD61" s="171"/>
      <c r="AE61" s="155"/>
    </row>
    <row r="62" spans="1:31" ht="30" customHeight="1" thickTop="1">
      <c r="A62" s="177"/>
      <c r="B62" s="177"/>
      <c r="C62" s="177"/>
      <c r="D62" s="177"/>
      <c r="M62" s="7"/>
      <c r="S62" s="7"/>
      <c r="Y62" s="76"/>
    </row>
    <row r="63" spans="1:31" ht="30" customHeight="1">
      <c r="Q63" s="75"/>
    </row>
    <row r="64" spans="1:31" ht="30" customHeight="1">
      <c r="Q64" s="75"/>
      <c r="AD64" s="49"/>
    </row>
    <row r="65" spans="11:13" ht="30" customHeight="1">
      <c r="K65" s="7"/>
    </row>
    <row r="66" spans="11:13" ht="30" customHeight="1">
      <c r="M66" s="25"/>
    </row>
  </sheetData>
  <autoFilter ref="A7:C34" xr:uid="{00000000-0001-0000-0100-000000000000}">
    <filterColumn colId="0" showButton="0"/>
    <filterColumn colId="1" showButton="0"/>
  </autoFilter>
  <mergeCells count="74">
    <mergeCell ref="A31:C31"/>
    <mergeCell ref="A23:C23"/>
    <mergeCell ref="A24:C24"/>
    <mergeCell ref="A21:C21"/>
    <mergeCell ref="A22:C22"/>
    <mergeCell ref="A29:C29"/>
    <mergeCell ref="A30:C30"/>
    <mergeCell ref="W7:W8"/>
    <mergeCell ref="Y7:Y8"/>
    <mergeCell ref="AA7:AA8"/>
    <mergeCell ref="A1:AA1"/>
    <mergeCell ref="A2:AA2"/>
    <mergeCell ref="A3:AA3"/>
    <mergeCell ref="B4:AA4"/>
    <mergeCell ref="A5:B5"/>
    <mergeCell ref="C5:AA5"/>
    <mergeCell ref="A7:C8"/>
    <mergeCell ref="E7:E8"/>
    <mergeCell ref="E6:I6"/>
    <mergeCell ref="K6:Q6"/>
    <mergeCell ref="S6:AA6"/>
    <mergeCell ref="K7:M7"/>
    <mergeCell ref="S7:S8"/>
    <mergeCell ref="U7:U8"/>
    <mergeCell ref="O7:Q7"/>
    <mergeCell ref="G7:G8"/>
    <mergeCell ref="I7:I8"/>
    <mergeCell ref="A9:C9"/>
    <mergeCell ref="A10:C10"/>
    <mergeCell ref="A11:C11"/>
    <mergeCell ref="A12:C12"/>
    <mergeCell ref="A13:C13"/>
    <mergeCell ref="A14:C14"/>
    <mergeCell ref="A15:C15"/>
    <mergeCell ref="A16:C16"/>
    <mergeCell ref="A37:C37"/>
    <mergeCell ref="A35:C35"/>
    <mergeCell ref="A36:C36"/>
    <mergeCell ref="A34:C34"/>
    <mergeCell ref="A28:C28"/>
    <mergeCell ref="A32:C32"/>
    <mergeCell ref="A33:C33"/>
    <mergeCell ref="A17:C17"/>
    <mergeCell ref="A18:C18"/>
    <mergeCell ref="A19:C19"/>
    <mergeCell ref="A20:C20"/>
    <mergeCell ref="A27:C27"/>
    <mergeCell ref="A26:C26"/>
    <mergeCell ref="A25:C25"/>
    <mergeCell ref="A40:C40"/>
    <mergeCell ref="A41:C41"/>
    <mergeCell ref="A42:C42"/>
    <mergeCell ref="A38:C38"/>
    <mergeCell ref="A39:C39"/>
    <mergeCell ref="A46:C46"/>
    <mergeCell ref="A47:C47"/>
    <mergeCell ref="A43:C43"/>
    <mergeCell ref="A44:C44"/>
    <mergeCell ref="A45:C45"/>
    <mergeCell ref="A62:D62"/>
    <mergeCell ref="A48:C48"/>
    <mergeCell ref="A49:C49"/>
    <mergeCell ref="A50:C50"/>
    <mergeCell ref="A61:D61"/>
    <mergeCell ref="A59:C59"/>
    <mergeCell ref="A60:C60"/>
    <mergeCell ref="A51:C51"/>
    <mergeCell ref="A52:C52"/>
    <mergeCell ref="A53:C53"/>
    <mergeCell ref="A54:C54"/>
    <mergeCell ref="A55:C55"/>
    <mergeCell ref="A56:C56"/>
    <mergeCell ref="A57:C57"/>
    <mergeCell ref="A58:C58"/>
  </mergeCells>
  <pageMargins left="0.39" right="0.39" top="0.39" bottom="0.39" header="0" footer="0"/>
  <pageSetup scale="49" fitToHeight="0" orientation="landscape" r:id="rId1"/>
  <ignoredErrors>
    <ignoredError sqref="G61 E61 I6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7"/>
  <sheetViews>
    <sheetView rightToLeft="1" view="pageBreakPreview" topLeftCell="A4" zoomScaleNormal="100" zoomScaleSheetLayoutView="100" workbookViewId="0">
      <selection activeCell="K12" sqref="K12"/>
    </sheetView>
  </sheetViews>
  <sheetFormatPr defaultRowHeight="30" customHeight="1"/>
  <cols>
    <col min="1" max="1" width="29.7109375" style="31" customWidth="1"/>
    <col min="2" max="2" width="1.28515625" style="31" customWidth="1"/>
    <col min="3" max="3" width="13" style="31" customWidth="1"/>
    <col min="4" max="4" width="1.28515625" style="31" customWidth="1"/>
    <col min="5" max="5" width="13" style="31" customWidth="1"/>
    <col min="6" max="6" width="1.28515625" style="31" customWidth="1"/>
    <col min="7" max="7" width="6.42578125" style="31" customWidth="1"/>
    <col min="8" max="8" width="1.28515625" style="31" customWidth="1"/>
    <col min="9" max="9" width="9.140625" style="31" customWidth="1"/>
    <col min="10" max="10" width="1.28515625" style="31" customWidth="1"/>
    <col min="11" max="11" width="9.85546875" style="31" bestFit="1" customWidth="1"/>
    <col min="12" max="12" width="1.28515625" style="31" customWidth="1"/>
    <col min="13" max="13" width="2.5703125" style="31" customWidth="1"/>
    <col min="14" max="14" width="1.28515625" style="31" customWidth="1"/>
    <col min="15" max="15" width="9.140625" style="31" customWidth="1"/>
    <col min="16" max="16" width="1.28515625" style="31" customWidth="1"/>
    <col min="17" max="17" width="2.5703125" style="31" customWidth="1"/>
    <col min="18" max="20" width="1.28515625" style="31" customWidth="1"/>
    <col min="21" max="21" width="6.42578125" style="31" customWidth="1"/>
    <col min="22" max="22" width="1.28515625" style="31" customWidth="1"/>
    <col min="23" max="23" width="2.5703125" style="31" customWidth="1"/>
    <col min="24" max="26" width="1.28515625" style="31" customWidth="1"/>
    <col min="27" max="27" width="8.7109375" style="31" customWidth="1"/>
    <col min="28" max="28" width="1.28515625" style="31" hidden="1" customWidth="1"/>
    <col min="29" max="29" width="2.5703125" style="31" hidden="1" customWidth="1"/>
    <col min="30" max="30" width="0.7109375" style="31" customWidth="1"/>
    <col min="31" max="32" width="1.28515625" style="31" customWidth="1"/>
    <col min="33" max="33" width="10.42578125" style="31" customWidth="1"/>
    <col min="34" max="34" width="1.28515625" style="31" customWidth="1"/>
    <col min="35" max="35" width="2.5703125" style="31" customWidth="1"/>
    <col min="36" max="36" width="1.28515625" style="31" customWidth="1"/>
    <col min="37" max="37" width="11.42578125" style="31" customWidth="1"/>
    <col min="38" max="38" width="1.28515625" style="31" customWidth="1"/>
    <col min="39" max="39" width="2.5703125" style="31" customWidth="1"/>
    <col min="40" max="40" width="1.28515625" style="31" customWidth="1"/>
    <col min="41" max="41" width="11.85546875" style="31" customWidth="1"/>
    <col min="42" max="42" width="1.28515625" style="31" customWidth="1"/>
    <col min="43" max="43" width="2.5703125" style="31" customWidth="1"/>
    <col min="44" max="44" width="1.28515625" style="31" customWidth="1"/>
    <col min="45" max="45" width="11.7109375" style="31" customWidth="1"/>
    <col min="46" max="47" width="1.28515625" style="31" customWidth="1"/>
    <col min="48" max="48" width="13" style="31" customWidth="1"/>
    <col min="49" max="49" width="7.7109375" style="31" customWidth="1"/>
    <col min="50" max="50" width="0.28515625" style="30" customWidth="1"/>
    <col min="51" max="16384" width="9.140625" style="30"/>
  </cols>
  <sheetData>
    <row r="1" spans="1:49" ht="30" customHeight="1">
      <c r="A1" s="202" t="s">
        <v>100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</row>
    <row r="2" spans="1:49" ht="30" customHeight="1">
      <c r="A2" s="202" t="s">
        <v>84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202"/>
      <c r="AT2" s="202"/>
      <c r="AU2" s="202"/>
      <c r="AV2" s="202"/>
      <c r="AW2" s="202"/>
    </row>
    <row r="3" spans="1:49" ht="30" customHeight="1">
      <c r="A3" s="202" t="s">
        <v>98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2"/>
      <c r="AW3" s="202"/>
    </row>
    <row r="4" spans="1:49" ht="30" customHeight="1">
      <c r="A4" s="200" t="s">
        <v>15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</row>
    <row r="5" spans="1:49" ht="30" customHeight="1">
      <c r="A5" s="196"/>
      <c r="B5" s="196"/>
      <c r="C5" s="196"/>
      <c r="D5" s="196"/>
      <c r="E5" s="196"/>
      <c r="F5" s="196"/>
      <c r="G5" s="196"/>
      <c r="I5" s="197" t="s">
        <v>97</v>
      </c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C5" s="197" t="s">
        <v>99</v>
      </c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</row>
    <row r="6" spans="1:49" ht="30" customHeight="1">
      <c r="A6" s="197" t="s">
        <v>16</v>
      </c>
      <c r="B6" s="197"/>
      <c r="C6" s="197"/>
      <c r="D6" s="197"/>
      <c r="E6" s="197"/>
      <c r="F6" s="197"/>
      <c r="G6" s="197"/>
      <c r="I6" s="197" t="s">
        <v>17</v>
      </c>
      <c r="J6" s="197"/>
      <c r="K6" s="197"/>
      <c r="M6" s="197" t="s">
        <v>18</v>
      </c>
      <c r="N6" s="197"/>
      <c r="O6" s="197"/>
      <c r="Q6" s="197" t="s">
        <v>19</v>
      </c>
      <c r="R6" s="197"/>
      <c r="S6" s="197"/>
      <c r="T6" s="197"/>
      <c r="U6" s="197"/>
      <c r="W6" s="197" t="s">
        <v>20</v>
      </c>
      <c r="X6" s="197"/>
      <c r="Y6" s="197"/>
      <c r="Z6" s="197"/>
      <c r="AA6" s="197"/>
      <c r="AC6" s="197" t="s">
        <v>17</v>
      </c>
      <c r="AD6" s="197"/>
      <c r="AE6" s="197"/>
      <c r="AF6" s="197"/>
      <c r="AG6" s="197"/>
      <c r="AI6" s="197" t="s">
        <v>18</v>
      </c>
      <c r="AJ6" s="197"/>
      <c r="AK6" s="197"/>
      <c r="AM6" s="197" t="s">
        <v>19</v>
      </c>
      <c r="AN6" s="197"/>
      <c r="AO6" s="197"/>
      <c r="AQ6" s="197" t="s">
        <v>20</v>
      </c>
      <c r="AR6" s="197"/>
      <c r="AS6" s="197"/>
    </row>
    <row r="7" spans="1:49" ht="30" customHeight="1">
      <c r="A7" s="201"/>
      <c r="B7" s="201"/>
      <c r="C7" s="201"/>
      <c r="D7" s="201"/>
      <c r="E7" s="201"/>
      <c r="F7" s="201"/>
      <c r="G7" s="201"/>
      <c r="I7" s="201"/>
      <c r="J7" s="201"/>
      <c r="K7" s="201"/>
      <c r="M7" s="201"/>
      <c r="N7" s="201"/>
      <c r="O7" s="201"/>
      <c r="Q7" s="201"/>
      <c r="R7" s="201"/>
      <c r="S7" s="201"/>
      <c r="T7" s="201"/>
      <c r="U7" s="201"/>
      <c r="W7" s="201"/>
      <c r="X7" s="201"/>
      <c r="Y7" s="201"/>
      <c r="Z7" s="201"/>
      <c r="AA7" s="201"/>
      <c r="AC7" s="201"/>
      <c r="AD7" s="201"/>
      <c r="AE7" s="201"/>
      <c r="AF7" s="201"/>
      <c r="AG7" s="201"/>
      <c r="AI7" s="201"/>
      <c r="AJ7" s="201"/>
      <c r="AK7" s="201"/>
      <c r="AM7" s="201"/>
      <c r="AN7" s="201"/>
      <c r="AO7" s="201"/>
      <c r="AQ7" s="201"/>
      <c r="AR7" s="201"/>
      <c r="AS7" s="201"/>
    </row>
    <row r="8" spans="1:49" ht="30" customHeight="1">
      <c r="A8" s="200" t="s">
        <v>21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</row>
    <row r="9" spans="1:49" ht="30" customHeight="1">
      <c r="C9" s="197" t="s">
        <v>97</v>
      </c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Y9" s="197" t="s">
        <v>99</v>
      </c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</row>
    <row r="10" spans="1:49" ht="30" customHeight="1">
      <c r="A10" s="35" t="s">
        <v>16</v>
      </c>
      <c r="C10" s="33" t="s">
        <v>22</v>
      </c>
      <c r="D10" s="32"/>
      <c r="E10" s="33" t="s">
        <v>23</v>
      </c>
      <c r="F10" s="32"/>
      <c r="G10" s="198" t="s">
        <v>24</v>
      </c>
      <c r="H10" s="198"/>
      <c r="I10" s="198"/>
      <c r="J10" s="32"/>
      <c r="K10" s="198" t="s">
        <v>25</v>
      </c>
      <c r="L10" s="198"/>
      <c r="M10" s="198"/>
      <c r="N10" s="32"/>
      <c r="O10" s="198" t="s">
        <v>18</v>
      </c>
      <c r="P10" s="198"/>
      <c r="Q10" s="198"/>
      <c r="R10" s="32"/>
      <c r="S10" s="201" t="s">
        <v>19</v>
      </c>
      <c r="T10" s="201"/>
      <c r="U10" s="201"/>
      <c r="V10" s="201"/>
      <c r="W10" s="201"/>
      <c r="Y10" s="198" t="s">
        <v>22</v>
      </c>
      <c r="Z10" s="198"/>
      <c r="AA10" s="198"/>
      <c r="AB10" s="198"/>
      <c r="AC10" s="198"/>
      <c r="AD10" s="32"/>
      <c r="AE10" s="198" t="s">
        <v>23</v>
      </c>
      <c r="AF10" s="198"/>
      <c r="AG10" s="198"/>
      <c r="AH10" s="198"/>
      <c r="AI10" s="198"/>
      <c r="AJ10" s="32"/>
      <c r="AK10" s="198" t="s">
        <v>24</v>
      </c>
      <c r="AL10" s="198"/>
      <c r="AM10" s="198"/>
      <c r="AN10" s="32"/>
      <c r="AO10" s="198" t="s">
        <v>25</v>
      </c>
      <c r="AP10" s="198"/>
      <c r="AQ10" s="198"/>
      <c r="AR10" s="32"/>
      <c r="AS10" s="198" t="s">
        <v>18</v>
      </c>
      <c r="AT10" s="198"/>
      <c r="AU10" s="32"/>
      <c r="AV10" s="198" t="s">
        <v>19</v>
      </c>
      <c r="AW10" s="198"/>
    </row>
    <row r="11" spans="1:49" ht="30" customHeight="1">
      <c r="C11" s="31" t="s">
        <v>26</v>
      </c>
      <c r="E11" s="31" t="s">
        <v>96</v>
      </c>
      <c r="G11" s="196"/>
      <c r="H11" s="196"/>
      <c r="I11" s="196"/>
      <c r="K11" s="34"/>
      <c r="L11" s="34"/>
      <c r="M11" s="34"/>
      <c r="O11" s="34"/>
      <c r="P11" s="34"/>
      <c r="Q11" s="34"/>
      <c r="R11" s="39"/>
      <c r="T11" s="196"/>
      <c r="U11" s="196"/>
      <c r="V11" s="196"/>
      <c r="W11" s="196"/>
      <c r="Y11" s="199" t="s">
        <v>26</v>
      </c>
      <c r="Z11" s="199"/>
      <c r="AA11" s="199"/>
      <c r="AG11" s="39" t="s">
        <v>96</v>
      </c>
      <c r="AH11" s="39"/>
      <c r="AI11" s="39"/>
      <c r="AJ11" s="39"/>
      <c r="AN11" s="34"/>
      <c r="AO11" s="31">
        <v>0</v>
      </c>
      <c r="AP11" s="34"/>
      <c r="AQ11" s="34"/>
      <c r="AS11" s="34">
        <v>0</v>
      </c>
      <c r="AT11" s="34"/>
      <c r="AV11" s="199">
        <v>0</v>
      </c>
      <c r="AW11" s="199"/>
    </row>
    <row r="12" spans="1:49" ht="30" customHeight="1">
      <c r="C12" s="31" t="s">
        <v>26</v>
      </c>
      <c r="E12" s="31" t="s">
        <v>27</v>
      </c>
      <c r="K12" s="34"/>
      <c r="L12" s="34"/>
      <c r="M12" s="34"/>
      <c r="O12" s="34"/>
      <c r="P12" s="34"/>
      <c r="Q12" s="34"/>
      <c r="R12" s="39"/>
      <c r="T12" s="196"/>
      <c r="U12" s="196"/>
      <c r="V12" s="196"/>
      <c r="W12" s="196"/>
      <c r="Y12" s="196" t="s">
        <v>26</v>
      </c>
      <c r="Z12" s="196"/>
      <c r="AA12" s="196"/>
      <c r="AG12" s="39" t="s">
        <v>27</v>
      </c>
      <c r="AH12" s="39"/>
      <c r="AI12" s="39"/>
      <c r="AJ12" s="39"/>
      <c r="AN12" s="34"/>
      <c r="AO12" s="31">
        <v>0</v>
      </c>
      <c r="AP12" s="34"/>
      <c r="AQ12" s="34"/>
      <c r="AS12" s="34">
        <v>0</v>
      </c>
      <c r="AT12" s="34"/>
      <c r="AV12" s="196">
        <v>0</v>
      </c>
      <c r="AW12" s="196"/>
    </row>
    <row r="13" spans="1:49" ht="30" customHeight="1">
      <c r="C13" s="31" t="s">
        <v>26</v>
      </c>
      <c r="E13" s="31" t="s">
        <v>96</v>
      </c>
      <c r="K13" s="34"/>
      <c r="L13" s="34"/>
      <c r="M13" s="34"/>
      <c r="O13" s="34"/>
      <c r="P13" s="34"/>
      <c r="Q13" s="34"/>
      <c r="R13" s="39"/>
      <c r="T13" s="196"/>
      <c r="U13" s="196"/>
      <c r="V13" s="196"/>
      <c r="W13" s="196"/>
      <c r="Z13" s="196" t="s">
        <v>26</v>
      </c>
      <c r="AA13" s="196"/>
      <c r="AG13" s="39" t="s">
        <v>96</v>
      </c>
      <c r="AH13" s="39"/>
      <c r="AI13" s="39"/>
      <c r="AJ13" s="39"/>
      <c r="AN13" s="34"/>
      <c r="AO13" s="31">
        <v>0</v>
      </c>
      <c r="AP13" s="34"/>
      <c r="AQ13" s="34"/>
      <c r="AS13" s="34">
        <v>0</v>
      </c>
      <c r="AT13" s="34"/>
      <c r="AV13" s="196">
        <v>0</v>
      </c>
      <c r="AW13" s="196"/>
    </row>
    <row r="14" spans="1:49" ht="30" customHeight="1">
      <c r="A14" s="200" t="s">
        <v>28</v>
      </c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</row>
    <row r="15" spans="1:49" ht="30" customHeight="1">
      <c r="C15" s="197" t="s">
        <v>97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O15" s="197" t="s">
        <v>99</v>
      </c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K15" s="196"/>
      <c r="AL15" s="196"/>
      <c r="AM15" s="196"/>
      <c r="AO15" s="196"/>
      <c r="AP15" s="196"/>
      <c r="AQ15" s="196"/>
      <c r="AS15" s="196"/>
      <c r="AT15" s="196"/>
    </row>
    <row r="16" spans="1:49" ht="30" customHeight="1">
      <c r="A16" s="35" t="s">
        <v>16</v>
      </c>
      <c r="C16" s="33" t="s">
        <v>23</v>
      </c>
      <c r="D16" s="32"/>
      <c r="E16" s="33" t="s">
        <v>25</v>
      </c>
      <c r="F16" s="32"/>
      <c r="G16" s="198" t="s">
        <v>18</v>
      </c>
      <c r="H16" s="198"/>
      <c r="I16" s="198"/>
      <c r="J16" s="32"/>
      <c r="K16" s="198" t="s">
        <v>19</v>
      </c>
      <c r="L16" s="198"/>
      <c r="M16" s="198"/>
      <c r="O16" s="198" t="s">
        <v>23</v>
      </c>
      <c r="P16" s="198"/>
      <c r="Q16" s="198"/>
      <c r="R16" s="198"/>
      <c r="S16" s="198"/>
      <c r="T16" s="32"/>
      <c r="U16" s="198" t="s">
        <v>25</v>
      </c>
      <c r="V16" s="198"/>
      <c r="W16" s="198"/>
      <c r="X16" s="198"/>
      <c r="Y16" s="198"/>
      <c r="Z16" s="32"/>
      <c r="AA16" s="198" t="s">
        <v>18</v>
      </c>
      <c r="AB16" s="198"/>
      <c r="AC16" s="198"/>
      <c r="AD16" s="198"/>
      <c r="AE16" s="198"/>
      <c r="AF16" s="32"/>
      <c r="AG16" s="198" t="s">
        <v>19</v>
      </c>
      <c r="AH16" s="198"/>
      <c r="AI16" s="198"/>
      <c r="AK16" s="196"/>
      <c r="AL16" s="196"/>
      <c r="AM16" s="196"/>
      <c r="AO16" s="196"/>
      <c r="AP16" s="196"/>
      <c r="AQ16" s="196"/>
      <c r="AS16" s="196"/>
      <c r="AT16" s="196"/>
    </row>
    <row r="17" spans="1:46" ht="30" customHeight="1">
      <c r="A17" s="32"/>
      <c r="C17" s="32"/>
      <c r="E17" s="32"/>
      <c r="G17" s="199"/>
      <c r="H17" s="199"/>
      <c r="I17" s="199"/>
      <c r="K17" s="199"/>
      <c r="L17" s="199"/>
      <c r="M17" s="199"/>
      <c r="O17" s="199"/>
      <c r="P17" s="199"/>
      <c r="Q17" s="199"/>
      <c r="R17" s="199"/>
      <c r="S17" s="199"/>
      <c r="U17" s="199"/>
      <c r="V17" s="199"/>
      <c r="W17" s="199"/>
      <c r="X17" s="199"/>
      <c r="Y17" s="199"/>
      <c r="AA17" s="199"/>
      <c r="AB17" s="199"/>
      <c r="AC17" s="199"/>
      <c r="AD17" s="199"/>
      <c r="AE17" s="199"/>
      <c r="AG17" s="199"/>
      <c r="AH17" s="199"/>
      <c r="AI17" s="199"/>
      <c r="AK17" s="196"/>
      <c r="AL17" s="196"/>
      <c r="AM17" s="196"/>
      <c r="AO17" s="196"/>
      <c r="AP17" s="196"/>
      <c r="AQ17" s="196"/>
      <c r="AS17" s="196"/>
      <c r="AT17" s="196"/>
    </row>
  </sheetData>
  <mergeCells count="72">
    <mergeCell ref="T13:W13"/>
    <mergeCell ref="T12:W12"/>
    <mergeCell ref="A8:AW8"/>
    <mergeCell ref="C9:W9"/>
    <mergeCell ref="Y9:AV9"/>
    <mergeCell ref="AV11:AW11"/>
    <mergeCell ref="AV12:AW12"/>
    <mergeCell ref="AV13:AW13"/>
    <mergeCell ref="A7:G7"/>
    <mergeCell ref="Y10:AC10"/>
    <mergeCell ref="AV10:AW10"/>
    <mergeCell ref="AM7:AO7"/>
    <mergeCell ref="AQ7:AS7"/>
    <mergeCell ref="AC7:AG7"/>
    <mergeCell ref="AI7:AK7"/>
    <mergeCell ref="I7:K7"/>
    <mergeCell ref="M7:O7"/>
    <mergeCell ref="Q7:U7"/>
    <mergeCell ref="W7:AA7"/>
    <mergeCell ref="AC6:AG6"/>
    <mergeCell ref="AI6:AK6"/>
    <mergeCell ref="AM6:AO6"/>
    <mergeCell ref="AQ6:AS6"/>
    <mergeCell ref="A5:G5"/>
    <mergeCell ref="A6:G6"/>
    <mergeCell ref="I6:K6"/>
    <mergeCell ref="M6:O6"/>
    <mergeCell ref="Q6:U6"/>
    <mergeCell ref="W6:AA6"/>
    <mergeCell ref="A1:AW1"/>
    <mergeCell ref="A2:AW2"/>
    <mergeCell ref="A3:AW3"/>
    <mergeCell ref="A4:AW4"/>
    <mergeCell ref="I5:AA5"/>
    <mergeCell ref="AC5:AS5"/>
    <mergeCell ref="AK15:AM15"/>
    <mergeCell ref="AO15:AQ15"/>
    <mergeCell ref="A14:AW14"/>
    <mergeCell ref="G11:I11"/>
    <mergeCell ref="AE10:AI10"/>
    <mergeCell ref="AK10:AM10"/>
    <mergeCell ref="AO10:AQ10"/>
    <mergeCell ref="G10:I10"/>
    <mergeCell ref="K10:M10"/>
    <mergeCell ref="O10:Q10"/>
    <mergeCell ref="S10:W10"/>
    <mergeCell ref="AS10:AT10"/>
    <mergeCell ref="Y11:AA11"/>
    <mergeCell ref="Y12:AA12"/>
    <mergeCell ref="Z13:AA13"/>
    <mergeCell ref="T11:W11"/>
    <mergeCell ref="AK16:AM16"/>
    <mergeCell ref="AK17:AM17"/>
    <mergeCell ref="C15:M15"/>
    <mergeCell ref="O15:AI15"/>
    <mergeCell ref="G16:I16"/>
    <mergeCell ref="K16:M16"/>
    <mergeCell ref="O16:S16"/>
    <mergeCell ref="AG17:AI17"/>
    <mergeCell ref="AA17:AE17"/>
    <mergeCell ref="U17:Y17"/>
    <mergeCell ref="O17:S17"/>
    <mergeCell ref="U16:Y16"/>
    <mergeCell ref="AA16:AE16"/>
    <mergeCell ref="AG16:AI16"/>
    <mergeCell ref="K17:M17"/>
    <mergeCell ref="G17:I17"/>
    <mergeCell ref="AS15:AT15"/>
    <mergeCell ref="AS16:AT16"/>
    <mergeCell ref="AS17:AT17"/>
    <mergeCell ref="AO16:AQ16"/>
    <mergeCell ref="AO17:AQ17"/>
  </mergeCells>
  <phoneticPr fontId="12" type="noConversion"/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548DE-4776-449B-873F-95F0E2E3A380}">
  <sheetPr>
    <tabColor theme="0"/>
    <pageSetUpPr fitToPage="1"/>
  </sheetPr>
  <dimension ref="A1:Q12"/>
  <sheetViews>
    <sheetView rightToLeft="1" view="pageBreakPreview" zoomScaleNormal="100" zoomScaleSheetLayoutView="100" workbookViewId="0">
      <selection activeCell="E13" sqref="E13"/>
    </sheetView>
  </sheetViews>
  <sheetFormatPr defaultRowHeight="30" customHeight="1"/>
  <cols>
    <col min="1" max="1" width="39" style="3" customWidth="1"/>
    <col min="2" max="2" width="1.28515625" style="3" customWidth="1"/>
    <col min="3" max="3" width="16.85546875" style="3" customWidth="1"/>
    <col min="4" max="4" width="1.28515625" style="3" customWidth="1"/>
    <col min="5" max="5" width="20.7109375" style="3" customWidth="1"/>
    <col min="6" max="6" width="1.28515625" style="3" customWidth="1"/>
    <col min="7" max="7" width="15.5703125" style="3" customWidth="1"/>
    <col min="8" max="8" width="1.28515625" style="3" customWidth="1"/>
    <col min="9" max="9" width="16.5703125" style="3" customWidth="1"/>
    <col min="10" max="10" width="1.28515625" style="3" customWidth="1"/>
    <col min="11" max="11" width="1.28515625" style="3" hidden="1" customWidth="1"/>
    <col min="12" max="12" width="15.5703125" style="3" customWidth="1"/>
    <col min="13" max="13" width="1.28515625" style="3" customWidth="1"/>
    <col min="14" max="14" width="24.85546875" style="3" customWidth="1"/>
    <col min="15" max="15" width="0.28515625" style="12" customWidth="1"/>
    <col min="16" max="16" width="6.7109375" style="12" customWidth="1"/>
    <col min="17" max="17" width="14.7109375" style="12" bestFit="1" customWidth="1"/>
    <col min="18" max="16384" width="9.140625" style="12"/>
  </cols>
  <sheetData>
    <row r="1" spans="1:17" ht="30" customHeight="1">
      <c r="A1" s="176" t="s">
        <v>102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17" ht="30" customHeight="1">
      <c r="A2" s="176" t="s">
        <v>83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</row>
    <row r="3" spans="1:17" ht="30" customHeight="1">
      <c r="A3" s="176" t="s">
        <v>144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</row>
    <row r="4" spans="1:17" s="81" customFormat="1" ht="30" customHeight="1">
      <c r="A4" s="189" t="s">
        <v>147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</row>
    <row r="5" spans="1:17" s="81" customFormat="1" ht="30" customHeight="1">
      <c r="A5" s="190" t="s">
        <v>118</v>
      </c>
      <c r="B5" s="190"/>
      <c r="C5" s="190"/>
      <c r="D5" s="190"/>
      <c r="E5" s="190"/>
      <c r="F5" s="172"/>
      <c r="G5" s="172"/>
      <c r="H5" s="172"/>
      <c r="I5" s="172"/>
      <c r="J5" s="172"/>
      <c r="K5" s="172"/>
      <c r="L5" s="172"/>
      <c r="M5" s="172"/>
      <c r="N5" s="172"/>
    </row>
    <row r="6" spans="1:17" ht="30" customHeight="1">
      <c r="A6" s="204" t="s">
        <v>16</v>
      </c>
      <c r="C6" s="176" t="s">
        <v>145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</row>
    <row r="7" spans="1:17" ht="42">
      <c r="A7" s="204"/>
      <c r="C7" s="11" t="s">
        <v>8</v>
      </c>
      <c r="D7" s="4"/>
      <c r="E7" s="11" t="s">
        <v>109</v>
      </c>
      <c r="F7" s="4"/>
      <c r="G7" s="11" t="s">
        <v>110</v>
      </c>
      <c r="I7" s="54" t="s">
        <v>111</v>
      </c>
      <c r="J7" s="4"/>
      <c r="K7" s="4"/>
      <c r="L7" s="11" t="s">
        <v>112</v>
      </c>
      <c r="M7" s="11"/>
      <c r="N7" s="11" t="s">
        <v>117</v>
      </c>
    </row>
    <row r="8" spans="1:17" ht="40.5" customHeight="1">
      <c r="A8" s="20" t="s">
        <v>106</v>
      </c>
      <c r="C8" s="48">
        <v>1102489</v>
      </c>
      <c r="D8" s="82"/>
      <c r="E8" s="48">
        <v>14860</v>
      </c>
      <c r="F8" s="82"/>
      <c r="G8" s="80">
        <v>10402</v>
      </c>
      <c r="I8" s="83">
        <v>-0.3</v>
      </c>
      <c r="L8" s="7">
        <v>10233302898</v>
      </c>
      <c r="N8" s="203" t="s">
        <v>139</v>
      </c>
      <c r="O8" s="203"/>
    </row>
    <row r="9" spans="1:17" ht="30" customHeight="1" thickBot="1">
      <c r="A9" s="84" t="s">
        <v>14</v>
      </c>
      <c r="C9" s="85">
        <f>SUM(C8:C8)</f>
        <v>1102489</v>
      </c>
      <c r="D9" s="7">
        <f>SUM(D8:D8)</f>
        <v>0</v>
      </c>
      <c r="E9" s="86"/>
      <c r="F9" s="7">
        <f>SUM(F8:F8)</f>
        <v>0</v>
      </c>
      <c r="G9" s="86"/>
      <c r="H9" s="7">
        <f>SUM(H8:H8)</f>
        <v>0</v>
      </c>
      <c r="I9" s="86"/>
      <c r="J9" s="7">
        <f>SUM(J8:J8)</f>
        <v>0</v>
      </c>
      <c r="K9" s="7">
        <f>SUM(K8:K8)</f>
        <v>0</v>
      </c>
      <c r="L9" s="86">
        <f>SUM(L8:L8)</f>
        <v>10233302898</v>
      </c>
      <c r="M9" s="14"/>
      <c r="N9" s="85"/>
    </row>
    <row r="10" spans="1:17" ht="30" customHeight="1" thickTop="1">
      <c r="A10" s="177" t="s">
        <v>146</v>
      </c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</row>
    <row r="11" spans="1:17" ht="30" customHeight="1">
      <c r="G11" s="25"/>
      <c r="N11" s="59"/>
    </row>
    <row r="12" spans="1:17" ht="30" customHeight="1">
      <c r="G12" s="7"/>
      <c r="N12" s="87"/>
      <c r="Q12" s="27"/>
    </row>
  </sheetData>
  <autoFilter ref="A1:A12" xr:uid="{00000000-0001-0000-0E00-000000000000}"/>
  <mergeCells count="9">
    <mergeCell ref="N8:O8"/>
    <mergeCell ref="A10:N10"/>
    <mergeCell ref="A1:N1"/>
    <mergeCell ref="A2:N2"/>
    <mergeCell ref="A3:N3"/>
    <mergeCell ref="A4:N4"/>
    <mergeCell ref="A6:A7"/>
    <mergeCell ref="A5:E5"/>
    <mergeCell ref="C6:N6"/>
  </mergeCells>
  <pageMargins left="0.39" right="0.39" top="0.39" bottom="0.39" header="0" footer="0"/>
  <pageSetup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Q16"/>
  <sheetViews>
    <sheetView rightToLeft="1" view="pageBreakPreview" zoomScaleNormal="100" zoomScaleSheetLayoutView="100" workbookViewId="0">
      <selection activeCell="L7" sqref="L7"/>
    </sheetView>
  </sheetViews>
  <sheetFormatPr defaultRowHeight="30" customHeight="1"/>
  <cols>
    <col min="1" max="1" width="5.140625" style="3" customWidth="1"/>
    <col min="2" max="2" width="33" style="3" customWidth="1"/>
    <col min="3" max="3" width="1.28515625" style="3" customWidth="1"/>
    <col min="4" max="4" width="19.28515625" style="3" customWidth="1"/>
    <col min="5" max="5" width="1.28515625" style="3" customWidth="1"/>
    <col min="6" max="6" width="19.7109375" style="3" customWidth="1"/>
    <col min="7" max="7" width="1.28515625" style="3" customWidth="1"/>
    <col min="8" max="8" width="20.85546875" style="25" customWidth="1"/>
    <col min="9" max="9" width="1.28515625" style="3" customWidth="1"/>
    <col min="10" max="10" width="22.42578125" style="3" customWidth="1"/>
    <col min="11" max="11" width="1.28515625" style="3" customWidth="1"/>
    <col min="12" max="12" width="15.42578125" style="3" customWidth="1"/>
    <col min="13" max="13" width="0.28515625" style="12" customWidth="1"/>
    <col min="14" max="14" width="17.85546875" style="12" bestFit="1" customWidth="1"/>
    <col min="15" max="15" width="18.5703125" style="28" customWidth="1"/>
    <col min="16" max="16" width="9.140625" style="12"/>
    <col min="17" max="17" width="20.140625" style="12" customWidth="1"/>
    <col min="18" max="16384" width="9.140625" style="12"/>
  </cols>
  <sheetData>
    <row r="1" spans="1:17" ht="30" customHeight="1">
      <c r="A1" s="176" t="s">
        <v>100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7" ht="30" customHeight="1">
      <c r="A2" s="176" t="s">
        <v>83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</row>
    <row r="3" spans="1:17" ht="30" customHeight="1">
      <c r="A3" s="176" t="s">
        <v>144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1:17" ht="30" customHeight="1">
      <c r="A4" s="174" t="s">
        <v>29</v>
      </c>
      <c r="B4" s="189" t="s">
        <v>30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</row>
    <row r="5" spans="1:17" ht="30" customHeight="1">
      <c r="D5" s="1" t="s">
        <v>119</v>
      </c>
      <c r="F5" s="204" t="s">
        <v>4</v>
      </c>
      <c r="G5" s="204"/>
      <c r="H5" s="204"/>
      <c r="J5" s="206" t="s">
        <v>145</v>
      </c>
      <c r="K5" s="206"/>
      <c r="L5" s="206"/>
    </row>
    <row r="6" spans="1:17" ht="42" customHeight="1">
      <c r="A6" s="204" t="s">
        <v>31</v>
      </c>
      <c r="B6" s="204"/>
      <c r="D6" s="1" t="s">
        <v>32</v>
      </c>
      <c r="F6" s="1" t="s">
        <v>33</v>
      </c>
      <c r="H6" s="88" t="s">
        <v>34</v>
      </c>
      <c r="J6" s="89" t="s">
        <v>32</v>
      </c>
      <c r="L6" s="29" t="s">
        <v>13</v>
      </c>
      <c r="Q6" s="27"/>
    </row>
    <row r="7" spans="1:17" ht="30" customHeight="1">
      <c r="A7" s="205" t="s">
        <v>113</v>
      </c>
      <c r="B7" s="205"/>
      <c r="D7" s="7">
        <v>503289359</v>
      </c>
      <c r="F7" s="7">
        <v>314939433536</v>
      </c>
      <c r="H7" s="90">
        <v>-296893014056</v>
      </c>
      <c r="J7" s="7">
        <f>SUM(D7:H7)</f>
        <v>18549708839</v>
      </c>
      <c r="L7" s="91">
        <f>(J7/2587490343331)*100</f>
        <v>0.71689963546376267</v>
      </c>
      <c r="O7" s="41"/>
    </row>
    <row r="8" spans="1:17" ht="30" customHeight="1">
      <c r="A8" s="177" t="s">
        <v>114</v>
      </c>
      <c r="B8" s="177"/>
      <c r="D8" s="7">
        <v>5464442</v>
      </c>
      <c r="F8" s="7">
        <v>46410</v>
      </c>
      <c r="H8" s="25">
        <v>0</v>
      </c>
      <c r="J8" s="7">
        <f t="shared" ref="J8:J9" si="0">SUM(D8:H8)</f>
        <v>5510852</v>
      </c>
      <c r="L8" s="91">
        <f>(J8/2587490343331)*100</f>
        <v>2.1298058229294166E-4</v>
      </c>
      <c r="O8" s="7"/>
      <c r="Q8" s="27"/>
    </row>
    <row r="9" spans="1:17" ht="30" customHeight="1">
      <c r="A9" s="178" t="s">
        <v>115</v>
      </c>
      <c r="B9" s="178"/>
      <c r="D9" s="7">
        <v>2430262</v>
      </c>
      <c r="F9" s="7">
        <v>10320</v>
      </c>
      <c r="H9" s="25">
        <v>0</v>
      </c>
      <c r="J9" s="7">
        <f t="shared" si="0"/>
        <v>2440582</v>
      </c>
      <c r="L9" s="91">
        <f>(J9/2587490343331)*100</f>
        <v>9.4322361677227456E-5</v>
      </c>
      <c r="O9" s="42"/>
      <c r="Q9" s="27"/>
    </row>
    <row r="10" spans="1:17" ht="30" hidden="1" customHeight="1">
      <c r="A10" s="178"/>
      <c r="B10" s="178"/>
      <c r="D10" s="7">
        <v>0</v>
      </c>
      <c r="F10" s="7"/>
      <c r="J10" s="7">
        <f t="shared" ref="J10" si="1">D10+F10+H10</f>
        <v>0</v>
      </c>
      <c r="L10" s="40"/>
      <c r="Q10" s="27"/>
    </row>
    <row r="11" spans="1:17" ht="30" customHeight="1" thickBot="1">
      <c r="A11" s="176" t="s">
        <v>14</v>
      </c>
      <c r="B11" s="176"/>
      <c r="D11" s="21">
        <f>SUM(D7:D9)</f>
        <v>511184063</v>
      </c>
      <c r="E11" s="43">
        <f t="shared" ref="E11:K11" si="2">SUM(E7:E9)</f>
        <v>0</v>
      </c>
      <c r="F11" s="21">
        <f t="shared" si="2"/>
        <v>314939490266</v>
      </c>
      <c r="G11" s="43">
        <f t="shared" si="2"/>
        <v>0</v>
      </c>
      <c r="H11" s="66">
        <f t="shared" si="2"/>
        <v>-296893014056</v>
      </c>
      <c r="I11" s="43">
        <f t="shared" si="2"/>
        <v>0</v>
      </c>
      <c r="J11" s="21">
        <f t="shared" si="2"/>
        <v>18557660273</v>
      </c>
      <c r="K11" s="43">
        <f t="shared" si="2"/>
        <v>0</v>
      </c>
      <c r="L11" s="72">
        <f>SUM(L7:L9)</f>
        <v>0.71720693840773286</v>
      </c>
      <c r="Q11" s="27"/>
    </row>
    <row r="12" spans="1:17" ht="30" customHeight="1" thickTop="1">
      <c r="F12" s="7"/>
      <c r="L12" s="15"/>
      <c r="Q12" s="41"/>
    </row>
    <row r="14" spans="1:17" ht="30" customHeight="1">
      <c r="F14" s="7"/>
      <c r="J14" s="7"/>
    </row>
    <row r="15" spans="1:17" ht="30" customHeight="1">
      <c r="F15" s="7"/>
      <c r="J15" s="7"/>
    </row>
    <row r="16" spans="1:17" ht="30" customHeight="1">
      <c r="F16" s="7"/>
    </row>
  </sheetData>
  <mergeCells count="12">
    <mergeCell ref="A1:L1"/>
    <mergeCell ref="A2:L2"/>
    <mergeCell ref="A3:L3"/>
    <mergeCell ref="B4:L4"/>
    <mergeCell ref="F5:H5"/>
    <mergeCell ref="J5:L5"/>
    <mergeCell ref="A11:B11"/>
    <mergeCell ref="A6:B6"/>
    <mergeCell ref="A7:B7"/>
    <mergeCell ref="A9:B9"/>
    <mergeCell ref="A10:B10"/>
    <mergeCell ref="A8:B8"/>
  </mergeCells>
  <pageMargins left="0.39" right="0.39" top="0.39" bottom="0.39" header="0" footer="0"/>
  <pageSetup scale="93" fitToHeight="0" orientation="landscape" r:id="rId1"/>
  <ignoredErrors>
    <ignoredError sqref="D11:K1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M12"/>
  <sheetViews>
    <sheetView rightToLeft="1" view="pageBreakPreview" zoomScaleNormal="100" zoomScaleSheetLayoutView="100" workbookViewId="0">
      <selection activeCell="A16" sqref="A16"/>
    </sheetView>
  </sheetViews>
  <sheetFormatPr defaultRowHeight="30" customHeight="1"/>
  <cols>
    <col min="1" max="1" width="41.5703125" style="3" customWidth="1"/>
    <col min="2" max="2" width="1.28515625" style="3" customWidth="1"/>
    <col min="3" max="3" width="18.28515625" style="3" customWidth="1"/>
    <col min="4" max="4" width="1.28515625" style="3" customWidth="1"/>
    <col min="5" max="5" width="15.7109375" style="3" customWidth="1"/>
    <col min="6" max="6" width="1.28515625" style="3" customWidth="1"/>
    <col min="7" max="7" width="15.5703125" style="3" customWidth="1"/>
    <col min="8" max="8" width="1.28515625" style="3" customWidth="1"/>
    <col min="9" max="9" width="16.85546875" style="3" customWidth="1"/>
    <col min="10" max="10" width="1.28515625" style="3" customWidth="1"/>
    <col min="11" max="11" width="16.85546875" style="3" customWidth="1"/>
    <col min="12" max="12" width="1.28515625" style="3" customWidth="1"/>
    <col min="13" max="13" width="19.85546875" style="3" customWidth="1"/>
    <col min="14" max="14" width="0.28515625" style="12" customWidth="1"/>
    <col min="15" max="16384" width="9.140625" style="12"/>
  </cols>
  <sheetData>
    <row r="1" spans="1:13" ht="30" customHeight="1">
      <c r="A1" s="176" t="s">
        <v>100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3" ht="30" customHeight="1">
      <c r="A2" s="176" t="s">
        <v>85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</row>
    <row r="3" spans="1:13" ht="30" customHeight="1">
      <c r="A3" s="176" t="s">
        <v>144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</row>
    <row r="4" spans="1:13" ht="30" customHeight="1">
      <c r="A4" s="189" t="s">
        <v>69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</row>
    <row r="5" spans="1:13" ht="30" customHeight="1">
      <c r="A5" s="204" t="s">
        <v>38</v>
      </c>
      <c r="C5" s="204" t="s">
        <v>48</v>
      </c>
      <c r="D5" s="204"/>
      <c r="E5" s="204"/>
      <c r="F5" s="204"/>
      <c r="G5" s="204"/>
      <c r="I5" s="204" t="s">
        <v>49</v>
      </c>
      <c r="J5" s="204"/>
      <c r="K5" s="204"/>
      <c r="L5" s="204"/>
      <c r="M5" s="204"/>
    </row>
    <row r="6" spans="1:13" ht="30" customHeight="1">
      <c r="A6" s="204"/>
      <c r="C6" s="11" t="s">
        <v>67</v>
      </c>
      <c r="D6" s="4"/>
      <c r="E6" s="11" t="s">
        <v>65</v>
      </c>
      <c r="F6" s="4"/>
      <c r="G6" s="11" t="s">
        <v>68</v>
      </c>
      <c r="I6" s="11" t="s">
        <v>67</v>
      </c>
      <c r="J6" s="4"/>
      <c r="K6" s="11" t="s">
        <v>65</v>
      </c>
      <c r="L6" s="4"/>
      <c r="M6" s="11" t="s">
        <v>68</v>
      </c>
    </row>
    <row r="7" spans="1:13" ht="30" customHeight="1">
      <c r="A7" s="19" t="s">
        <v>113</v>
      </c>
      <c r="C7" s="7">
        <v>14219</v>
      </c>
      <c r="E7" s="5">
        <v>0</v>
      </c>
      <c r="G7" s="5">
        <f>C7+E7</f>
        <v>14219</v>
      </c>
      <c r="I7" s="7">
        <v>14219</v>
      </c>
      <c r="K7" s="5">
        <v>0</v>
      </c>
      <c r="M7" s="7">
        <f>I7+K7</f>
        <v>14219</v>
      </c>
    </row>
    <row r="8" spans="1:13" ht="30" customHeight="1">
      <c r="A8" s="20" t="s">
        <v>116</v>
      </c>
      <c r="C8" s="7">
        <v>10320</v>
      </c>
      <c r="E8" s="7">
        <v>0</v>
      </c>
      <c r="G8" s="7">
        <f>C8+E8</f>
        <v>10320</v>
      </c>
      <c r="I8" s="7">
        <v>10320</v>
      </c>
      <c r="K8" s="7">
        <v>0</v>
      </c>
      <c r="M8" s="7">
        <f t="shared" ref="M8:M9" si="0">I8+K8</f>
        <v>10320</v>
      </c>
    </row>
    <row r="9" spans="1:13" ht="30" customHeight="1">
      <c r="A9" s="20" t="s">
        <v>140</v>
      </c>
      <c r="C9" s="9">
        <v>46410</v>
      </c>
      <c r="E9" s="9">
        <v>0</v>
      </c>
      <c r="G9" s="7">
        <f>C9+E9</f>
        <v>46410</v>
      </c>
      <c r="I9" s="9">
        <v>46410</v>
      </c>
      <c r="K9" s="9">
        <v>0</v>
      </c>
      <c r="M9" s="7">
        <f t="shared" si="0"/>
        <v>46410</v>
      </c>
    </row>
    <row r="10" spans="1:13" ht="30" customHeight="1">
      <c r="A10" s="14" t="s">
        <v>14</v>
      </c>
      <c r="C10" s="21">
        <f>SUM(C7:C9)</f>
        <v>70949</v>
      </c>
      <c r="D10" s="14"/>
      <c r="E10" s="26">
        <f>SUM(E7:E9)</f>
        <v>0</v>
      </c>
      <c r="F10" s="14"/>
      <c r="G10" s="21">
        <f>SUM(G7:G9)</f>
        <v>70949</v>
      </c>
      <c r="H10" s="14"/>
      <c r="I10" s="21">
        <f>SUM(I7:I9)</f>
        <v>70949</v>
      </c>
      <c r="J10" s="14"/>
      <c r="K10" s="26">
        <f>SUM(K7:K9)</f>
        <v>0</v>
      </c>
      <c r="L10" s="14"/>
      <c r="M10" s="69">
        <f>SUM(M7:M9)</f>
        <v>70949</v>
      </c>
    </row>
    <row r="12" spans="1:13" ht="30" customHeight="1">
      <c r="M12" s="7"/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S22"/>
  <sheetViews>
    <sheetView rightToLeft="1" view="pageBreakPreview" zoomScaleNormal="100" zoomScaleSheetLayoutView="100" workbookViewId="0">
      <selection activeCell="J6" sqref="J6"/>
    </sheetView>
  </sheetViews>
  <sheetFormatPr defaultRowHeight="30" customHeight="1"/>
  <cols>
    <col min="1" max="1" width="2.5703125" style="3" customWidth="1"/>
    <col min="2" max="2" width="50.140625" style="3" customWidth="1"/>
    <col min="3" max="3" width="1.28515625" style="3" customWidth="1"/>
    <col min="4" max="4" width="11.7109375" style="3" customWidth="1"/>
    <col min="5" max="5" width="1.28515625" style="3" customWidth="1"/>
    <col min="6" max="6" width="18.85546875" style="3" customWidth="1"/>
    <col min="7" max="7" width="1.28515625" style="3" customWidth="1"/>
    <col min="8" max="8" width="12.140625" style="36" customWidth="1"/>
    <col min="9" max="9" width="1.28515625" style="36" customWidth="1"/>
    <col min="10" max="10" width="15.28515625" style="36" customWidth="1"/>
    <col min="11" max="11" width="0.28515625" style="12" hidden="1" customWidth="1"/>
    <col min="12" max="12" width="13.42578125" style="12" hidden="1" customWidth="1"/>
    <col min="13" max="13" width="20.42578125" style="12" customWidth="1"/>
    <col min="14" max="14" width="9.140625" style="28"/>
    <col min="15" max="15" width="9.140625" style="12"/>
    <col min="16" max="16" width="20" style="12" customWidth="1"/>
    <col min="17" max="16384" width="9.140625" style="12"/>
  </cols>
  <sheetData>
    <row r="1" spans="1:19" ht="30" customHeight="1">
      <c r="A1" s="176" t="s">
        <v>100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9" ht="30" customHeight="1">
      <c r="A2" s="176" t="s">
        <v>85</v>
      </c>
      <c r="B2" s="176"/>
      <c r="C2" s="176"/>
      <c r="D2" s="176"/>
      <c r="E2" s="176"/>
      <c r="F2" s="176"/>
      <c r="G2" s="176"/>
      <c r="H2" s="176"/>
      <c r="I2" s="176"/>
      <c r="J2" s="176"/>
    </row>
    <row r="3" spans="1:19" ht="30" customHeight="1">
      <c r="A3" s="176" t="s">
        <v>144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1:19" ht="30" customHeight="1">
      <c r="A4" s="174" t="s">
        <v>36</v>
      </c>
      <c r="B4" s="189" t="s">
        <v>37</v>
      </c>
      <c r="C4" s="189"/>
      <c r="D4" s="189"/>
      <c r="E4" s="189"/>
      <c r="F4" s="189"/>
      <c r="G4" s="189"/>
      <c r="H4" s="189"/>
      <c r="I4" s="189"/>
      <c r="J4" s="189"/>
    </row>
    <row r="5" spans="1:19" ht="37.5" customHeight="1">
      <c r="A5" s="204" t="s">
        <v>38</v>
      </c>
      <c r="B5" s="204"/>
      <c r="D5" s="1" t="s">
        <v>39</v>
      </c>
      <c r="F5" s="1" t="s">
        <v>32</v>
      </c>
      <c r="H5" s="16" t="s">
        <v>40</v>
      </c>
      <c r="J5" s="71" t="s">
        <v>41</v>
      </c>
    </row>
    <row r="6" spans="1:19" ht="30" customHeight="1">
      <c r="A6" s="205" t="s">
        <v>42</v>
      </c>
      <c r="B6" s="205"/>
      <c r="D6" s="37" t="s">
        <v>87</v>
      </c>
      <c r="F6" s="44">
        <f>'درآمد سرمایه گذاری در سهام'!I34</f>
        <v>59819820865</v>
      </c>
      <c r="H6" s="77">
        <f>F6/F$11*100</f>
        <v>99.399690712423137</v>
      </c>
      <c r="J6" s="70">
        <f>F6/2587490343331</f>
        <v>2.3118857629432187E-2</v>
      </c>
      <c r="M6" s="27"/>
      <c r="P6" s="27"/>
      <c r="S6" s="27"/>
    </row>
    <row r="7" spans="1:19" ht="30" customHeight="1">
      <c r="A7" s="178" t="s">
        <v>43</v>
      </c>
      <c r="B7" s="178"/>
      <c r="D7" s="38" t="s">
        <v>44</v>
      </c>
      <c r="F7" s="7">
        <v>0</v>
      </c>
      <c r="H7" s="77">
        <f>F7/F$11*100</f>
        <v>0</v>
      </c>
      <c r="J7" s="70">
        <f>F7/2587490343331</f>
        <v>0</v>
      </c>
      <c r="M7" s="27"/>
      <c r="P7" s="27"/>
    </row>
    <row r="8" spans="1:19" ht="30" customHeight="1">
      <c r="A8" s="178" t="s">
        <v>45</v>
      </c>
      <c r="B8" s="178"/>
      <c r="D8" s="38" t="s">
        <v>88</v>
      </c>
      <c r="F8" s="7">
        <v>0</v>
      </c>
      <c r="H8" s="77">
        <f>F8/F$11*100</f>
        <v>0</v>
      </c>
      <c r="J8" s="70">
        <f>F8/2587490343331</f>
        <v>0</v>
      </c>
      <c r="M8" s="27"/>
    </row>
    <row r="9" spans="1:19" ht="30" customHeight="1">
      <c r="A9" s="178" t="s">
        <v>46</v>
      </c>
      <c r="B9" s="178"/>
      <c r="D9" s="38" t="s">
        <v>89</v>
      </c>
      <c r="F9" s="7">
        <f>'درآمد سپرده بانکی'!D10</f>
        <v>70949</v>
      </c>
      <c r="H9" s="77">
        <f>F9/F$11*100</f>
        <v>1.1789250710514827E-4</v>
      </c>
      <c r="J9" s="70">
        <f>F9/2587490343331</f>
        <v>2.7420005714364895E-8</v>
      </c>
      <c r="M9" s="27"/>
    </row>
    <row r="10" spans="1:19" ht="30" customHeight="1">
      <c r="A10" s="178" t="s">
        <v>47</v>
      </c>
      <c r="B10" s="178"/>
      <c r="D10" s="38" t="s">
        <v>90</v>
      </c>
      <c r="F10" s="7">
        <f>'سایر درآمدها'!D10</f>
        <v>361201745</v>
      </c>
      <c r="H10" s="77">
        <f>F10/F$11*100</f>
        <v>0.60019139506976071</v>
      </c>
      <c r="J10" s="70">
        <f>F10/2587490343331</f>
        <v>1.3959539827113239E-4</v>
      </c>
      <c r="M10" s="27"/>
      <c r="P10" s="41"/>
    </row>
    <row r="11" spans="1:19" ht="30" customHeight="1" thickBot="1">
      <c r="A11" s="176" t="s">
        <v>14</v>
      </c>
      <c r="B11" s="176"/>
      <c r="D11" s="7"/>
      <c r="F11" s="21">
        <f>SUM(F6:F10)</f>
        <v>60181093559</v>
      </c>
      <c r="G11" s="14"/>
      <c r="H11" s="78">
        <f>SUM(H6:H10)</f>
        <v>100</v>
      </c>
      <c r="I11" s="18"/>
      <c r="J11" s="72">
        <f>SUM(J6:J10)</f>
        <v>2.3258480447709035E-2</v>
      </c>
    </row>
    <row r="12" spans="1:19" ht="30" customHeight="1" thickTop="1"/>
    <row r="13" spans="1:19" ht="30" customHeight="1">
      <c r="F13" s="12"/>
    </row>
    <row r="14" spans="1:19" ht="30" customHeight="1">
      <c r="F14" s="27"/>
    </row>
    <row r="15" spans="1:19" ht="30" customHeight="1">
      <c r="F15" s="41"/>
    </row>
    <row r="16" spans="1:19" ht="30" customHeight="1">
      <c r="B16" s="7"/>
      <c r="F16" s="27"/>
    </row>
    <row r="17" spans="2:13" ht="30" customHeight="1">
      <c r="B17" s="7"/>
      <c r="F17" s="7"/>
      <c r="J17" s="45"/>
    </row>
    <row r="18" spans="2:13" ht="30" customHeight="1">
      <c r="B18" s="7"/>
      <c r="F18" s="7"/>
      <c r="J18" s="45"/>
    </row>
    <row r="19" spans="2:13" ht="30" customHeight="1">
      <c r="B19" s="7"/>
      <c r="F19" s="7"/>
      <c r="M19" s="27"/>
    </row>
    <row r="20" spans="2:13" ht="30" customHeight="1">
      <c r="B20" s="7"/>
      <c r="F20" s="7"/>
    </row>
    <row r="21" spans="2:13" ht="30" customHeight="1">
      <c r="F21" s="7"/>
    </row>
    <row r="22" spans="2:13" ht="30" customHeight="1">
      <c r="F22" s="7"/>
    </row>
  </sheetData>
  <mergeCells count="11">
    <mergeCell ref="A1:J1"/>
    <mergeCell ref="A2:J2"/>
    <mergeCell ref="B4:J4"/>
    <mergeCell ref="A5:B5"/>
    <mergeCell ref="A3:L3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  <pageSetUpPr fitToPage="1"/>
  </sheetPr>
  <dimension ref="A1:Z41"/>
  <sheetViews>
    <sheetView rightToLeft="1" view="pageBreakPreview" zoomScaleNormal="100" zoomScaleSheetLayoutView="100" workbookViewId="0">
      <selection activeCell="E40" sqref="E40"/>
    </sheetView>
  </sheetViews>
  <sheetFormatPr defaultRowHeight="30" customHeight="1"/>
  <cols>
    <col min="1" max="1" width="31.140625" style="128" bestFit="1" customWidth="1"/>
    <col min="2" max="2" width="1.28515625" style="128" customWidth="1"/>
    <col min="3" max="3" width="15.28515625" style="128" bestFit="1" customWidth="1"/>
    <col min="4" max="4" width="1.28515625" style="128" customWidth="1"/>
    <col min="5" max="5" width="16.28515625" style="131" bestFit="1" customWidth="1"/>
    <col min="6" max="6" width="1.28515625" style="128" customWidth="1"/>
    <col min="7" max="7" width="16" style="128" bestFit="1" customWidth="1"/>
    <col min="8" max="8" width="1.28515625" style="128" customWidth="1"/>
    <col min="9" max="9" width="16.5703125" style="131" bestFit="1" customWidth="1"/>
    <col min="10" max="10" width="1.28515625" style="128" customWidth="1"/>
    <col min="11" max="11" width="17.28515625" style="128" bestFit="1" customWidth="1"/>
    <col min="12" max="12" width="1.28515625" style="128" customWidth="1"/>
    <col min="13" max="13" width="15.5703125" style="128" bestFit="1" customWidth="1"/>
    <col min="14" max="14" width="1.28515625" style="128" customWidth="1"/>
    <col min="15" max="15" width="16.28515625" style="132" bestFit="1" customWidth="1"/>
    <col min="16" max="16" width="1.28515625" style="128" customWidth="1"/>
    <col min="17" max="17" width="16" style="131" bestFit="1" customWidth="1"/>
    <col min="18" max="18" width="16.5703125" style="131" bestFit="1" customWidth="1"/>
    <col min="19" max="19" width="0.7109375" style="128" customWidth="1"/>
    <col min="20" max="20" width="17.28515625" style="128" bestFit="1" customWidth="1"/>
    <col min="21" max="21" width="0.28515625" style="120" customWidth="1"/>
    <col min="22" max="22" width="9.140625" style="120"/>
    <col min="23" max="23" width="16.140625" style="120" bestFit="1" customWidth="1"/>
    <col min="24" max="16384" width="9.140625" style="120"/>
  </cols>
  <sheetData>
    <row r="1" spans="1:26" ht="30" customHeight="1">
      <c r="A1" s="207" t="s">
        <v>102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</row>
    <row r="2" spans="1:26" ht="30" customHeight="1">
      <c r="A2" s="207" t="s">
        <v>86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</row>
    <row r="3" spans="1:26" ht="30" customHeight="1">
      <c r="A3" s="207" t="s">
        <v>144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</row>
    <row r="4" spans="1:26" ht="30" customHeight="1">
      <c r="A4" s="212" t="s">
        <v>91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</row>
    <row r="5" spans="1:26" ht="30" customHeight="1">
      <c r="A5" s="47"/>
      <c r="B5" s="47"/>
      <c r="C5" s="213" t="s">
        <v>48</v>
      </c>
      <c r="D5" s="213"/>
      <c r="E5" s="213"/>
      <c r="F5" s="213"/>
      <c r="G5" s="213"/>
      <c r="H5" s="213"/>
      <c r="I5" s="213"/>
      <c r="J5" s="213"/>
      <c r="K5" s="213"/>
      <c r="L5" s="47"/>
      <c r="M5" s="213" t="s">
        <v>49</v>
      </c>
      <c r="N5" s="213"/>
      <c r="O5" s="213"/>
      <c r="P5" s="213"/>
      <c r="Q5" s="213"/>
      <c r="R5" s="213"/>
      <c r="S5" s="213"/>
      <c r="T5" s="213"/>
    </row>
    <row r="6" spans="1:26" ht="30" customHeight="1">
      <c r="A6" s="207" t="s">
        <v>50</v>
      </c>
      <c r="B6" s="47"/>
      <c r="C6" s="187" t="s">
        <v>51</v>
      </c>
      <c r="D6" s="79"/>
      <c r="E6" s="208" t="s">
        <v>52</v>
      </c>
      <c r="F6" s="79"/>
      <c r="G6" s="187" t="s">
        <v>53</v>
      </c>
      <c r="H6" s="79"/>
      <c r="I6" s="123" t="s">
        <v>14</v>
      </c>
      <c r="J6" s="124"/>
      <c r="K6" s="124"/>
      <c r="L6" s="47"/>
      <c r="M6" s="187" t="s">
        <v>51</v>
      </c>
      <c r="N6" s="79"/>
      <c r="O6" s="210" t="s">
        <v>52</v>
      </c>
      <c r="P6" s="79"/>
      <c r="Q6" s="208" t="s">
        <v>53</v>
      </c>
      <c r="R6" s="123" t="s">
        <v>14</v>
      </c>
      <c r="S6" s="124"/>
      <c r="T6" s="124"/>
    </row>
    <row r="7" spans="1:26" ht="30" customHeight="1">
      <c r="A7" s="188"/>
      <c r="B7" s="47"/>
      <c r="C7" s="188"/>
      <c r="D7" s="47"/>
      <c r="E7" s="209"/>
      <c r="F7" s="47"/>
      <c r="G7" s="188"/>
      <c r="H7" s="47"/>
      <c r="I7" s="125" t="s">
        <v>32</v>
      </c>
      <c r="J7" s="79"/>
      <c r="K7" s="121" t="s">
        <v>40</v>
      </c>
      <c r="L7" s="47"/>
      <c r="M7" s="188"/>
      <c r="N7" s="47"/>
      <c r="O7" s="211"/>
      <c r="P7" s="47"/>
      <c r="Q7" s="209"/>
      <c r="R7" s="125" t="s">
        <v>32</v>
      </c>
      <c r="S7" s="79"/>
      <c r="T7" s="121" t="s">
        <v>40</v>
      </c>
    </row>
    <row r="8" spans="1:26" ht="30" customHeight="1">
      <c r="A8" s="113" t="s">
        <v>121</v>
      </c>
      <c r="B8" s="47"/>
      <c r="C8" s="48">
        <f>'درآمد سود سهام'!M16</f>
        <v>9774766183</v>
      </c>
      <c r="D8" s="47"/>
      <c r="E8" s="80">
        <f>'درآمد ناشی از تغییر قیمت اوراق'!E13</f>
        <v>-8607843137</v>
      </c>
      <c r="F8" s="47"/>
      <c r="G8" s="80">
        <f>'درآمد ناشی از فروش  '!I12</f>
        <v>-2892967248</v>
      </c>
      <c r="H8" s="47"/>
      <c r="I8" s="80">
        <f>C8+E8+G8</f>
        <v>-1726044202</v>
      </c>
      <c r="J8" s="47"/>
      <c r="K8" s="119"/>
      <c r="L8" s="47"/>
      <c r="M8" s="48">
        <f>'درآمد سود سهام'!S16</f>
        <v>9774766183</v>
      </c>
      <c r="N8" s="47"/>
      <c r="O8" s="48">
        <f>'درآمد ناشی از تغییر قیمت اوراق'!I13</f>
        <v>-8607843137</v>
      </c>
      <c r="P8" s="47"/>
      <c r="Q8" s="80">
        <f>'درآمد ناشی از فروش  '!Q12</f>
        <v>-2892967248</v>
      </c>
      <c r="R8" s="80">
        <f>M8+O8+Q8</f>
        <v>-1726044202</v>
      </c>
      <c r="S8" s="47"/>
      <c r="T8" s="119"/>
      <c r="V8" s="141"/>
      <c r="W8" s="142"/>
      <c r="X8" s="142"/>
      <c r="Y8" s="142"/>
      <c r="Z8" s="143"/>
    </row>
    <row r="9" spans="1:26" ht="30" hidden="1" customHeight="1">
      <c r="A9" s="113" t="s">
        <v>122</v>
      </c>
      <c r="B9" s="47"/>
      <c r="C9" s="47">
        <v>0</v>
      </c>
      <c r="D9" s="47"/>
      <c r="E9" s="80">
        <v>0</v>
      </c>
      <c r="F9" s="47"/>
      <c r="G9" s="126">
        <f>'درآمد ناشی از فروش  '!I13</f>
        <v>0</v>
      </c>
      <c r="H9" s="47"/>
      <c r="I9" s="80">
        <f t="shared" ref="I9:I33" si="0">C9+E9+G9</f>
        <v>0</v>
      </c>
      <c r="J9" s="47"/>
      <c r="K9" s="119"/>
      <c r="L9" s="47"/>
      <c r="M9" s="47">
        <v>0</v>
      </c>
      <c r="N9" s="47"/>
      <c r="O9" s="48">
        <v>0</v>
      </c>
      <c r="P9" s="47"/>
      <c r="Q9" s="80">
        <f>'درآمد ناشی از فروش  '!Q13</f>
        <v>0</v>
      </c>
      <c r="R9" s="80">
        <f t="shared" ref="R9:R33" si="1">M9+O9+Q9</f>
        <v>0</v>
      </c>
      <c r="S9" s="47"/>
      <c r="T9" s="119"/>
      <c r="V9" s="141"/>
      <c r="W9" s="142"/>
      <c r="X9" s="142"/>
      <c r="Y9" s="142"/>
      <c r="Z9" s="143"/>
    </row>
    <row r="10" spans="1:26" ht="30" customHeight="1">
      <c r="A10" s="113" t="s">
        <v>124</v>
      </c>
      <c r="B10" s="47"/>
      <c r="C10" s="47">
        <v>0</v>
      </c>
      <c r="D10" s="47"/>
      <c r="E10" s="80">
        <f>'درآمد ناشی از تغییر قیمت اوراق'!E16</f>
        <v>6357809314</v>
      </c>
      <c r="F10" s="47"/>
      <c r="G10" s="126">
        <f>'درآمد ناشی از فروش  '!I14</f>
        <v>1364490575</v>
      </c>
      <c r="H10" s="47"/>
      <c r="I10" s="80">
        <f t="shared" si="0"/>
        <v>7722299889</v>
      </c>
      <c r="J10" s="47"/>
      <c r="K10" s="119"/>
      <c r="L10" s="47"/>
      <c r="M10" s="47">
        <v>0</v>
      </c>
      <c r="N10" s="47"/>
      <c r="O10" s="48">
        <f>'درآمد ناشی از تغییر قیمت اوراق'!I16</f>
        <v>6357809314</v>
      </c>
      <c r="P10" s="47"/>
      <c r="Q10" s="80">
        <f>'درآمد ناشی از فروش  '!Q14</f>
        <v>1364490575</v>
      </c>
      <c r="R10" s="80">
        <f t="shared" si="1"/>
        <v>7722299889</v>
      </c>
      <c r="S10" s="47"/>
      <c r="T10" s="119"/>
      <c r="V10" s="141"/>
      <c r="W10" s="142"/>
      <c r="X10" s="142"/>
      <c r="Y10" s="142"/>
      <c r="Z10" s="143"/>
    </row>
    <row r="11" spans="1:26" ht="30" hidden="1" customHeight="1">
      <c r="A11" s="113" t="s">
        <v>130</v>
      </c>
      <c r="B11" s="47"/>
      <c r="C11" s="47">
        <v>0</v>
      </c>
      <c r="D11" s="47"/>
      <c r="E11" s="80">
        <v>0</v>
      </c>
      <c r="F11" s="47"/>
      <c r="G11" s="127">
        <f>'درآمد ناشی از فروش  '!I15</f>
        <v>0</v>
      </c>
      <c r="H11" s="47"/>
      <c r="I11" s="80">
        <f t="shared" si="0"/>
        <v>0</v>
      </c>
      <c r="J11" s="47"/>
      <c r="K11" s="119"/>
      <c r="L11" s="47"/>
      <c r="M11" s="47">
        <v>0</v>
      </c>
      <c r="N11" s="47"/>
      <c r="O11" s="48">
        <v>0</v>
      </c>
      <c r="P11" s="47"/>
      <c r="Q11" s="80">
        <f>'درآمد ناشی از فروش  '!Q15</f>
        <v>0</v>
      </c>
      <c r="R11" s="80">
        <f t="shared" si="1"/>
        <v>0</v>
      </c>
      <c r="S11" s="47"/>
      <c r="T11" s="119"/>
      <c r="V11" s="141"/>
      <c r="W11" s="142"/>
      <c r="X11" s="142"/>
      <c r="Y11" s="142"/>
      <c r="Z11" s="143"/>
    </row>
    <row r="12" spans="1:26" ht="30" hidden="1" customHeight="1">
      <c r="A12" s="113" t="s">
        <v>129</v>
      </c>
      <c r="B12" s="47"/>
      <c r="C12" s="47">
        <v>0</v>
      </c>
      <c r="D12" s="47"/>
      <c r="E12" s="80">
        <v>0</v>
      </c>
      <c r="F12" s="47"/>
      <c r="G12" s="127">
        <f>'درآمد ناشی از فروش  '!I16</f>
        <v>0</v>
      </c>
      <c r="H12" s="47"/>
      <c r="I12" s="80">
        <f t="shared" si="0"/>
        <v>0</v>
      </c>
      <c r="J12" s="47"/>
      <c r="K12" s="119"/>
      <c r="L12" s="47"/>
      <c r="M12" s="47">
        <v>0</v>
      </c>
      <c r="N12" s="47"/>
      <c r="O12" s="48">
        <v>0</v>
      </c>
      <c r="P12" s="47"/>
      <c r="Q12" s="80">
        <f>'درآمد ناشی از فروش  '!Q16</f>
        <v>0</v>
      </c>
      <c r="R12" s="80">
        <f t="shared" si="1"/>
        <v>0</v>
      </c>
      <c r="S12" s="47"/>
      <c r="T12" s="119"/>
      <c r="V12" s="141"/>
      <c r="W12" s="142"/>
      <c r="X12" s="142"/>
      <c r="Y12" s="142"/>
      <c r="Z12" s="143"/>
    </row>
    <row r="13" spans="1:26" ht="30" customHeight="1">
      <c r="A13" s="113" t="s">
        <v>103</v>
      </c>
      <c r="C13" s="48">
        <f>'درآمد سود سهام'!M7</f>
        <v>19314450564</v>
      </c>
      <c r="E13" s="80">
        <f>'درآمد ناشی از تغییر قیمت اوراق'!E7</f>
        <v>-39645982467</v>
      </c>
      <c r="G13" s="80">
        <f>'درآمد ناشی از فروش  '!I18</f>
        <v>-3697860296</v>
      </c>
      <c r="I13" s="80">
        <f t="shared" si="0"/>
        <v>-24029392199</v>
      </c>
      <c r="K13" s="129"/>
      <c r="M13" s="80">
        <f>'درآمد سود سهام'!S7</f>
        <v>19314450564</v>
      </c>
      <c r="O13" s="80">
        <f>'درآمد ناشی از تغییر قیمت اوراق'!I7</f>
        <v>-39645982467</v>
      </c>
      <c r="Q13" s="80">
        <f>'درآمد ناشی از فروش  '!Q18</f>
        <v>-3697860296</v>
      </c>
      <c r="R13" s="80">
        <f t="shared" si="1"/>
        <v>-24029392199</v>
      </c>
      <c r="T13" s="129"/>
      <c r="V13" s="141"/>
      <c r="W13" s="142"/>
      <c r="X13" s="142"/>
      <c r="Y13" s="142"/>
      <c r="Z13" s="143"/>
    </row>
    <row r="14" spans="1:26" ht="30" customHeight="1">
      <c r="A14" s="113" t="s">
        <v>104</v>
      </c>
      <c r="C14" s="48">
        <f>'درآمد سود سهام'!M8</f>
        <v>0</v>
      </c>
      <c r="E14" s="80">
        <f>'درآمد ناشی از تغییر قیمت اوراق'!E24</f>
        <v>-16623136155</v>
      </c>
      <c r="G14" s="80">
        <f>'درآمد ناشی از فروش  '!I23</f>
        <v>-1169285514</v>
      </c>
      <c r="I14" s="80">
        <f t="shared" si="0"/>
        <v>-17792421669</v>
      </c>
      <c r="K14" s="129"/>
      <c r="M14" s="80">
        <v>0</v>
      </c>
      <c r="O14" s="80">
        <f>'درآمد ناشی از تغییر قیمت اوراق'!I24</f>
        <v>-16623136155</v>
      </c>
      <c r="Q14" s="80">
        <f>'درآمد ناشی از فروش  '!Q23</f>
        <v>-1169285514</v>
      </c>
      <c r="R14" s="80">
        <f t="shared" si="1"/>
        <v>-17792421669</v>
      </c>
      <c r="T14" s="129"/>
      <c r="V14" s="141"/>
      <c r="W14" s="142"/>
      <c r="X14" s="142"/>
      <c r="Y14" s="142"/>
      <c r="Z14" s="143"/>
    </row>
    <row r="15" spans="1:26" ht="30" customHeight="1">
      <c r="A15" s="113" t="s">
        <v>105</v>
      </c>
      <c r="C15" s="48">
        <f>'درآمد سود سهام'!M9</f>
        <v>11930689862</v>
      </c>
      <c r="E15" s="80">
        <f>'درآمد ناشی از تغییر قیمت اوراق'!E9</f>
        <v>5011379339</v>
      </c>
      <c r="G15" s="80">
        <f>'درآمد ناشی از فروش  '!I9</f>
        <v>543620300</v>
      </c>
      <c r="H15" s="47"/>
      <c r="I15" s="80">
        <f t="shared" si="0"/>
        <v>17485689501</v>
      </c>
      <c r="J15" s="47"/>
      <c r="K15" s="130"/>
      <c r="M15" s="80">
        <f>'درآمد سود سهام'!S9</f>
        <v>11930689862</v>
      </c>
      <c r="O15" s="80">
        <f>'درآمد ناشی از تغییر قیمت اوراق'!I9</f>
        <v>5011379339</v>
      </c>
      <c r="Q15" s="80">
        <f>'درآمد ناشی از فروش  '!Q9</f>
        <v>543620300</v>
      </c>
      <c r="R15" s="80">
        <f t="shared" si="1"/>
        <v>17485689501</v>
      </c>
      <c r="T15" s="129"/>
      <c r="V15" s="141"/>
      <c r="W15" s="142"/>
      <c r="X15" s="142"/>
      <c r="Y15" s="142"/>
      <c r="Z15" s="143"/>
    </row>
    <row r="16" spans="1:26" ht="30" customHeight="1">
      <c r="A16" s="113" t="s">
        <v>106</v>
      </c>
      <c r="C16" s="48">
        <f>'درآمد سود سهام'!M10</f>
        <v>1515841262</v>
      </c>
      <c r="E16" s="80">
        <f>'درآمد ناشی از تغییر قیمت اوراق'!E10</f>
        <v>-1225242770</v>
      </c>
      <c r="G16" s="80">
        <f>'درآمد ناشی از فروش  '!I10</f>
        <v>0</v>
      </c>
      <c r="H16" s="47"/>
      <c r="I16" s="80">
        <f t="shared" si="0"/>
        <v>290598492</v>
      </c>
      <c r="J16" s="47"/>
      <c r="K16" s="130"/>
      <c r="M16" s="80">
        <f>'درآمد سود سهام'!S10</f>
        <v>1515841262</v>
      </c>
      <c r="O16" s="80">
        <f>'درآمد ناشی از تغییر قیمت اوراق'!I10</f>
        <v>-1225242770</v>
      </c>
      <c r="Q16" s="80">
        <f>'درآمد ناشی از فروش  '!Q10</f>
        <v>0</v>
      </c>
      <c r="R16" s="80">
        <f t="shared" si="1"/>
        <v>290598492</v>
      </c>
      <c r="T16" s="129"/>
      <c r="V16" s="141"/>
      <c r="W16" s="142"/>
      <c r="X16" s="142"/>
      <c r="Y16" s="142"/>
      <c r="Z16" s="143"/>
    </row>
    <row r="17" spans="1:26" ht="30" customHeight="1">
      <c r="A17" s="113" t="s">
        <v>107</v>
      </c>
      <c r="C17" s="47">
        <v>0</v>
      </c>
      <c r="E17" s="80">
        <f>'درآمد ناشی از تغییر قیمت اوراق'!E11</f>
        <v>23491892854</v>
      </c>
      <c r="G17" s="80">
        <f>'درآمد ناشی از فروش  '!I11</f>
        <v>113916780</v>
      </c>
      <c r="I17" s="80">
        <f t="shared" si="0"/>
        <v>23605809634</v>
      </c>
      <c r="K17" s="129"/>
      <c r="M17" s="80">
        <f>'درآمد سود سهام'!S11</f>
        <v>0</v>
      </c>
      <c r="O17" s="131">
        <f>'درآمد ناشی از تغییر قیمت اوراق'!I11</f>
        <v>23491892854</v>
      </c>
      <c r="Q17" s="80">
        <f>'درآمد ناشی از فروش  '!Q11</f>
        <v>113916780</v>
      </c>
      <c r="R17" s="80">
        <f t="shared" si="1"/>
        <v>23605809634</v>
      </c>
      <c r="T17" s="129"/>
      <c r="V17" s="141"/>
      <c r="W17" s="142"/>
      <c r="X17" s="142"/>
      <c r="Y17" s="142"/>
      <c r="Z17" s="143"/>
    </row>
    <row r="18" spans="1:26" ht="30" customHeight="1">
      <c r="A18" s="113" t="s">
        <v>120</v>
      </c>
      <c r="C18" s="47">
        <v>0</v>
      </c>
      <c r="E18" s="80">
        <f>'درآمد ناشی از تغییر قیمت اوراق'!E12</f>
        <v>18648323457</v>
      </c>
      <c r="G18" s="80">
        <f>'درآمد ناشی از فروش  '!I17</f>
        <v>2737562683</v>
      </c>
      <c r="I18" s="80">
        <f t="shared" si="0"/>
        <v>21385886140</v>
      </c>
      <c r="K18" s="129"/>
      <c r="M18" s="48">
        <v>0</v>
      </c>
      <c r="O18" s="80">
        <f>'درآمد ناشی از تغییر قیمت اوراق'!I12</f>
        <v>18648323457</v>
      </c>
      <c r="Q18" s="80">
        <f>'درآمد ناشی از فروش  '!Q17</f>
        <v>2737562683</v>
      </c>
      <c r="R18" s="80">
        <f t="shared" si="1"/>
        <v>21385886140</v>
      </c>
      <c r="T18" s="129"/>
      <c r="V18" s="141"/>
      <c r="W18" s="142"/>
      <c r="X18" s="142"/>
      <c r="Y18" s="142"/>
      <c r="Z18" s="143"/>
    </row>
    <row r="19" spans="1:26" ht="30" customHeight="1">
      <c r="A19" s="113" t="s">
        <v>142</v>
      </c>
      <c r="C19" s="47">
        <v>0</v>
      </c>
      <c r="E19" s="80">
        <f>'درآمد ناشی از تغییر قیمت اوراق'!E14</f>
        <v>-15722625012</v>
      </c>
      <c r="G19" s="80">
        <f>'درآمد ناشی از فروش  '!I30</f>
        <v>-77397058</v>
      </c>
      <c r="I19" s="80">
        <f t="shared" si="0"/>
        <v>-15800022070</v>
      </c>
      <c r="K19" s="129"/>
      <c r="M19" s="48">
        <v>0</v>
      </c>
      <c r="O19" s="80">
        <f>'درآمد ناشی از تغییر قیمت اوراق'!I14</f>
        <v>-15722625012</v>
      </c>
      <c r="Q19" s="80">
        <f>'درآمد ناشی از فروش  '!Q30</f>
        <v>-77397058</v>
      </c>
      <c r="R19" s="80">
        <f t="shared" si="1"/>
        <v>-15800022070</v>
      </c>
      <c r="T19" s="129"/>
      <c r="V19" s="141"/>
      <c r="W19" s="142"/>
      <c r="X19" s="142"/>
      <c r="Y19" s="142"/>
      <c r="Z19" s="143"/>
    </row>
    <row r="20" spans="1:26" ht="30" customHeight="1">
      <c r="A20" s="113" t="s">
        <v>138</v>
      </c>
      <c r="C20" s="47">
        <v>0</v>
      </c>
      <c r="E20" s="80">
        <f>'درآمد ناشی از تغییر قیمت اوراق'!E15</f>
        <v>-3021156577</v>
      </c>
      <c r="G20" s="80">
        <f>'درآمد ناشی از فروش  '!I27</f>
        <v>438064584</v>
      </c>
      <c r="I20" s="80">
        <f t="shared" si="0"/>
        <v>-2583091993</v>
      </c>
      <c r="K20" s="129"/>
      <c r="M20" s="48">
        <v>0</v>
      </c>
      <c r="O20" s="80">
        <f>'درآمد ناشی از تغییر قیمت اوراق'!I15</f>
        <v>-3021156577</v>
      </c>
      <c r="Q20" s="80">
        <f>'درآمد ناشی از فروش  '!Q27</f>
        <v>438064584</v>
      </c>
      <c r="R20" s="80">
        <f t="shared" si="1"/>
        <v>-2583091993</v>
      </c>
      <c r="T20" s="129"/>
      <c r="V20" s="141"/>
      <c r="W20" s="142"/>
      <c r="X20" s="142"/>
      <c r="Y20" s="142"/>
      <c r="Z20" s="143"/>
    </row>
    <row r="21" spans="1:26" ht="30" customHeight="1">
      <c r="A21" s="113" t="s">
        <v>125</v>
      </c>
      <c r="C21" s="48">
        <f>'درآمد سود سهام'!M12</f>
        <v>4891086348</v>
      </c>
      <c r="E21" s="80">
        <f>'درآمد ناشی از تغییر قیمت اوراق'!E17</f>
        <v>-16404367900</v>
      </c>
      <c r="G21" s="80">
        <f>'درآمد ناشی از فروش  '!I29</f>
        <v>-291176698</v>
      </c>
      <c r="I21" s="80">
        <f t="shared" si="0"/>
        <v>-11804458250</v>
      </c>
      <c r="K21" s="129"/>
      <c r="M21" s="48">
        <f>'درآمد سود سهام'!S12</f>
        <v>4891086348</v>
      </c>
      <c r="O21" s="80">
        <f>'درآمد ناشی از تغییر قیمت اوراق'!I17</f>
        <v>-16404367900</v>
      </c>
      <c r="Q21" s="80">
        <f>'درآمد ناشی از فروش  '!Q29</f>
        <v>-291176698</v>
      </c>
      <c r="R21" s="80">
        <f t="shared" si="1"/>
        <v>-11804458250</v>
      </c>
      <c r="T21" s="129"/>
      <c r="V21" s="141"/>
      <c r="W21" s="142"/>
      <c r="X21" s="142"/>
      <c r="Y21" s="142"/>
      <c r="Z21" s="143"/>
    </row>
    <row r="22" spans="1:26" ht="30" customHeight="1">
      <c r="A22" s="113" t="s">
        <v>134</v>
      </c>
      <c r="C22" s="48">
        <f>'درآمد سود سهام'!M13</f>
        <v>790211396</v>
      </c>
      <c r="E22" s="80">
        <f>'درآمد ناشی از تغییر قیمت اوراق'!E18</f>
        <v>-1056099364</v>
      </c>
      <c r="G22" s="80">
        <f>'درآمد ناشی از فروش  '!I24</f>
        <v>2476267294</v>
      </c>
      <c r="I22" s="80">
        <f t="shared" si="0"/>
        <v>2210379326</v>
      </c>
      <c r="K22" s="129"/>
      <c r="M22" s="48">
        <f>'درآمد سود سهام'!S13</f>
        <v>790211396</v>
      </c>
      <c r="O22" s="80">
        <f>'درآمد ناشی از تغییر قیمت اوراق'!I18</f>
        <v>-1056099364</v>
      </c>
      <c r="Q22" s="80">
        <f>'درآمد ناشی از فروش  '!Q24</f>
        <v>2476267294</v>
      </c>
      <c r="R22" s="80">
        <f t="shared" si="1"/>
        <v>2210379326</v>
      </c>
      <c r="T22" s="129"/>
      <c r="V22" s="141"/>
      <c r="W22" s="142"/>
      <c r="X22" s="142"/>
      <c r="Y22" s="142"/>
      <c r="Z22" s="143"/>
    </row>
    <row r="23" spans="1:26" ht="30" customHeight="1">
      <c r="A23" s="113" t="s">
        <v>126</v>
      </c>
      <c r="C23" s="48">
        <f>'درآمد سود سهام'!M15</f>
        <v>253858214</v>
      </c>
      <c r="E23" s="80">
        <f>'درآمد ناشی از تغییر قیمت اوراق'!E19</f>
        <v>0</v>
      </c>
      <c r="G23" s="80">
        <f>'درآمد ناشی از فروش  '!I22</f>
        <v>165022092</v>
      </c>
      <c r="I23" s="80">
        <f t="shared" si="0"/>
        <v>418880306</v>
      </c>
      <c r="K23" s="129"/>
      <c r="M23" s="48">
        <f>'درآمد سود سهام'!S15</f>
        <v>253858214</v>
      </c>
      <c r="O23" s="80">
        <f>'درآمد ناشی از تغییر قیمت اوراق'!I19</f>
        <v>0</v>
      </c>
      <c r="Q23" s="80">
        <f>'درآمد ناشی از فروش  '!Q22</f>
        <v>165022092</v>
      </c>
      <c r="R23" s="80">
        <f t="shared" si="1"/>
        <v>418880306</v>
      </c>
      <c r="T23" s="129"/>
      <c r="V23" s="141"/>
      <c r="W23" s="142"/>
      <c r="X23" s="142"/>
      <c r="Y23" s="142"/>
      <c r="Z23" s="143"/>
    </row>
    <row r="24" spans="1:26" ht="30" customHeight="1">
      <c r="A24" s="113" t="s">
        <v>133</v>
      </c>
      <c r="C24" s="48">
        <f>'درآمد سود سهام'!M14</f>
        <v>439505472</v>
      </c>
      <c r="E24" s="80">
        <f>'درآمد ناشی از تغییر قیمت اوراق'!E20</f>
        <v>5039697110</v>
      </c>
      <c r="G24" s="80">
        <f>'درآمد ناشی از فروش  '!I20</f>
        <v>1100234918</v>
      </c>
      <c r="I24" s="80">
        <f t="shared" si="0"/>
        <v>6579437500</v>
      </c>
      <c r="K24" s="129"/>
      <c r="M24" s="48">
        <f>'درآمد سود سهام'!S14</f>
        <v>439505472</v>
      </c>
      <c r="O24" s="80">
        <f>'درآمد ناشی از تغییر قیمت اوراق'!I20</f>
        <v>5039697110</v>
      </c>
      <c r="Q24" s="80">
        <f>'درآمد ناشی از فروش  '!Q20</f>
        <v>1100234918</v>
      </c>
      <c r="R24" s="80">
        <f t="shared" si="1"/>
        <v>6579437500</v>
      </c>
      <c r="T24" s="129"/>
      <c r="V24" s="141"/>
      <c r="W24" s="142"/>
      <c r="X24" s="142"/>
      <c r="Y24" s="142"/>
      <c r="Z24" s="143"/>
    </row>
    <row r="25" spans="1:26" ht="30" customHeight="1">
      <c r="A25" s="113" t="s">
        <v>137</v>
      </c>
      <c r="C25" s="47">
        <v>0</v>
      </c>
      <c r="E25" s="80">
        <f>'درآمد ناشی از تغییر قیمت اوراق'!E21</f>
        <v>27618677503</v>
      </c>
      <c r="G25" s="80">
        <f>'درآمد ناشی از فروش  '!I28</f>
        <v>3031893055</v>
      </c>
      <c r="I25" s="80">
        <f t="shared" si="0"/>
        <v>30650570558</v>
      </c>
      <c r="K25" s="129"/>
      <c r="M25" s="48">
        <v>0</v>
      </c>
      <c r="O25" s="80">
        <f>'درآمد ناشی از تغییر قیمت اوراق'!I21</f>
        <v>27618677503</v>
      </c>
      <c r="Q25" s="80">
        <f>'درآمد ناشی از فروش  '!Q28</f>
        <v>3031893055</v>
      </c>
      <c r="R25" s="80">
        <f t="shared" si="1"/>
        <v>30650570558</v>
      </c>
      <c r="T25" s="129"/>
      <c r="V25" s="141"/>
      <c r="W25" s="142"/>
      <c r="X25" s="142"/>
      <c r="Y25" s="142"/>
      <c r="Z25" s="143"/>
    </row>
    <row r="26" spans="1:26" ht="30" customHeight="1">
      <c r="A26" s="113" t="s">
        <v>135</v>
      </c>
      <c r="C26" s="47">
        <v>0</v>
      </c>
      <c r="E26" s="80">
        <f>'درآمد ناشی از تغییر قیمت اوراق'!E22</f>
        <v>18944684760</v>
      </c>
      <c r="G26" s="80">
        <f>'درآمد ناشی از فروش  '!I19</f>
        <v>5813287037</v>
      </c>
      <c r="I26" s="80">
        <f t="shared" si="0"/>
        <v>24757971797</v>
      </c>
      <c r="K26" s="129"/>
      <c r="M26" s="48">
        <v>0</v>
      </c>
      <c r="O26" s="80">
        <f>'درآمد ناشی از تغییر قیمت اوراق'!I22</f>
        <v>18944684760</v>
      </c>
      <c r="Q26" s="80">
        <f>'درآمد ناشی از فروش  '!Q19</f>
        <v>5813287037</v>
      </c>
      <c r="R26" s="80">
        <f t="shared" si="1"/>
        <v>24757971797</v>
      </c>
      <c r="T26" s="129"/>
      <c r="V26" s="141"/>
      <c r="W26" s="142"/>
      <c r="X26" s="142"/>
      <c r="Y26" s="142"/>
      <c r="Z26" s="143"/>
    </row>
    <row r="27" spans="1:26" ht="30" customHeight="1">
      <c r="A27" s="113" t="s">
        <v>136</v>
      </c>
      <c r="C27" s="47">
        <v>0</v>
      </c>
      <c r="E27" s="80">
        <f>'درآمد ناشی از تغییر قیمت اوراق'!E23</f>
        <v>252359162</v>
      </c>
      <c r="G27" s="80">
        <f>'درآمد ناشی از فروش  '!I25</f>
        <v>8632755</v>
      </c>
      <c r="I27" s="80">
        <f t="shared" si="0"/>
        <v>260991917</v>
      </c>
      <c r="K27" s="129"/>
      <c r="M27" s="48">
        <v>0</v>
      </c>
      <c r="O27" s="80">
        <f>'درآمد ناشی از تغییر قیمت اوراق'!I23</f>
        <v>252359162</v>
      </c>
      <c r="Q27" s="80">
        <f>'درآمد ناشی از فروش  '!Q25</f>
        <v>8632755</v>
      </c>
      <c r="R27" s="80">
        <f t="shared" si="1"/>
        <v>260991917</v>
      </c>
      <c r="T27" s="129"/>
      <c r="V27" s="141"/>
      <c r="W27" s="142"/>
      <c r="X27" s="142"/>
      <c r="Y27" s="142"/>
      <c r="Z27" s="143"/>
    </row>
    <row r="28" spans="1:26" ht="30" customHeight="1">
      <c r="A28" s="113" t="s">
        <v>156</v>
      </c>
      <c r="C28" s="47"/>
      <c r="E28" s="80">
        <f>'درآمد ناشی از تغییر قیمت اوراق'!E25</f>
        <v>425407009</v>
      </c>
      <c r="G28" s="80">
        <f>'درآمد ناشی از فروش  '!I26</f>
        <v>-1715240691</v>
      </c>
      <c r="I28" s="80">
        <f t="shared" si="0"/>
        <v>-1289833682</v>
      </c>
      <c r="K28" s="129"/>
      <c r="M28" s="48">
        <v>0</v>
      </c>
      <c r="O28" s="80">
        <f>'درآمد ناشی از تغییر قیمت اوراق'!I25</f>
        <v>425407009</v>
      </c>
      <c r="Q28" s="80">
        <f>'درآمد ناشی از فروش  '!Q26</f>
        <v>-1715240691</v>
      </c>
      <c r="R28" s="80">
        <f t="shared" si="1"/>
        <v>-1289833682</v>
      </c>
      <c r="T28" s="129"/>
      <c r="V28" s="141"/>
      <c r="W28" s="142"/>
      <c r="X28" s="142"/>
      <c r="Y28" s="142"/>
      <c r="Z28" s="143"/>
    </row>
    <row r="29" spans="1:26" ht="30" customHeight="1">
      <c r="A29" s="113" t="s">
        <v>154</v>
      </c>
      <c r="C29" s="47">
        <v>0</v>
      </c>
      <c r="E29" s="117">
        <v>0</v>
      </c>
      <c r="G29" s="80">
        <f>'درآمد ناشی از فروش  '!I21</f>
        <v>-2656165</v>
      </c>
      <c r="I29" s="80">
        <f t="shared" si="0"/>
        <v>-2656165</v>
      </c>
      <c r="K29" s="129"/>
      <c r="M29" s="48">
        <v>0</v>
      </c>
      <c r="O29" s="80">
        <v>0</v>
      </c>
      <c r="Q29" s="80">
        <f>'درآمد ناشی از فروش  '!Q21</f>
        <v>-2656165</v>
      </c>
      <c r="R29" s="80">
        <f t="shared" si="1"/>
        <v>-2656165</v>
      </c>
      <c r="T29" s="129"/>
      <c r="V29" s="141"/>
      <c r="W29" s="142"/>
      <c r="X29" s="142"/>
      <c r="Y29" s="142"/>
      <c r="Z29" s="143"/>
    </row>
    <row r="30" spans="1:26" ht="30" customHeight="1">
      <c r="A30" s="113" t="s">
        <v>131</v>
      </c>
      <c r="C30" s="47">
        <v>0</v>
      </c>
      <c r="E30" s="117">
        <v>0</v>
      </c>
      <c r="G30" s="80">
        <f>'درآمد ناشی از فروش  '!I31</f>
        <v>-332084451</v>
      </c>
      <c r="I30" s="80">
        <f t="shared" si="0"/>
        <v>-332084451</v>
      </c>
      <c r="K30" s="129"/>
      <c r="M30" s="48">
        <v>0</v>
      </c>
      <c r="N30" s="132"/>
      <c r="O30" s="80">
        <f>'درآمد ناشی از تغییر قیمت اوراق'!I26</f>
        <v>0</v>
      </c>
      <c r="P30" s="132"/>
      <c r="Q30" s="80">
        <f>'درآمد ناشی از فروش  '!Q31</f>
        <v>-332084451</v>
      </c>
      <c r="R30" s="80">
        <f t="shared" si="1"/>
        <v>-332084451</v>
      </c>
      <c r="S30" s="132"/>
      <c r="T30" s="129"/>
      <c r="U30" s="132"/>
      <c r="V30" s="141"/>
      <c r="W30" s="142"/>
      <c r="X30" s="142"/>
      <c r="Y30" s="142"/>
      <c r="Z30" s="143"/>
    </row>
    <row r="31" spans="1:26" ht="30" customHeight="1">
      <c r="A31" s="113" t="s">
        <v>132</v>
      </c>
      <c r="C31" s="47">
        <v>0</v>
      </c>
      <c r="E31" s="117">
        <f>'درآمد ناشی از تغییر قیمت اوراق'!E27</f>
        <v>0</v>
      </c>
      <c r="G31" s="80">
        <f>'درآمد ناشی از فروش  '!I32</f>
        <v>-188689514</v>
      </c>
      <c r="I31" s="80">
        <f t="shared" si="0"/>
        <v>-188689514</v>
      </c>
      <c r="K31" s="129"/>
      <c r="M31" s="48">
        <v>0</v>
      </c>
      <c r="N31" s="132"/>
      <c r="O31" s="80">
        <f>'درآمد ناشی از تغییر قیمت اوراق'!I27</f>
        <v>0</v>
      </c>
      <c r="P31" s="132"/>
      <c r="Q31" s="80">
        <f>'درآمد ناشی از فروش  '!Q32</f>
        <v>-188689514</v>
      </c>
      <c r="R31" s="80">
        <f t="shared" si="1"/>
        <v>-188689514</v>
      </c>
      <c r="S31" s="132"/>
      <c r="T31" s="129"/>
      <c r="U31" s="132"/>
      <c r="V31" s="141"/>
      <c r="W31" s="142"/>
      <c r="X31" s="142"/>
      <c r="Y31" s="142"/>
      <c r="Z31" s="143"/>
    </row>
    <row r="32" spans="1:26" ht="30" hidden="1" customHeight="1">
      <c r="A32" s="113" t="s">
        <v>127</v>
      </c>
      <c r="C32" s="47">
        <v>0</v>
      </c>
      <c r="E32" s="117">
        <v>0</v>
      </c>
      <c r="G32" s="80">
        <f>'درآمد ناشی از فروش  '!I33</f>
        <v>0</v>
      </c>
      <c r="I32" s="80">
        <f t="shared" si="0"/>
        <v>0</v>
      </c>
      <c r="K32" s="129"/>
      <c r="M32" s="48">
        <v>0</v>
      </c>
      <c r="N32" s="132"/>
      <c r="O32" s="80">
        <v>0</v>
      </c>
      <c r="P32" s="132"/>
      <c r="Q32" s="80">
        <f>'درآمد ناشی از فروش  '!Q33</f>
        <v>0</v>
      </c>
      <c r="R32" s="80">
        <f t="shared" si="1"/>
        <v>0</v>
      </c>
      <c r="S32" s="132"/>
      <c r="T32" s="129"/>
      <c r="U32" s="132"/>
      <c r="V32" s="141"/>
      <c r="W32" s="142"/>
      <c r="X32" s="142"/>
      <c r="Y32" s="142"/>
      <c r="Z32" s="143"/>
    </row>
    <row r="33" spans="1:26" ht="30" hidden="1" customHeight="1">
      <c r="A33" s="113" t="s">
        <v>128</v>
      </c>
      <c r="C33" s="47">
        <v>0</v>
      </c>
      <c r="E33" s="117">
        <v>0</v>
      </c>
      <c r="G33" s="80">
        <f>'درآمد ناشی از فروش  '!I34</f>
        <v>0</v>
      </c>
      <c r="I33" s="80">
        <f t="shared" si="0"/>
        <v>0</v>
      </c>
      <c r="K33" s="129"/>
      <c r="M33" s="48">
        <v>0</v>
      </c>
      <c r="N33" s="132"/>
      <c r="O33" s="80">
        <v>0</v>
      </c>
      <c r="P33" s="132"/>
      <c r="Q33" s="80">
        <f>'درآمد ناشی از فروش  '!Q34</f>
        <v>0</v>
      </c>
      <c r="R33" s="80">
        <f t="shared" si="1"/>
        <v>0</v>
      </c>
      <c r="S33" s="132"/>
      <c r="T33" s="129"/>
      <c r="U33" s="132"/>
      <c r="V33" s="141"/>
      <c r="W33" s="142"/>
      <c r="X33" s="142"/>
      <c r="Y33" s="142"/>
      <c r="Z33" s="143"/>
    </row>
    <row r="34" spans="1:26" s="137" customFormat="1" ht="30" customHeight="1" thickBot="1">
      <c r="A34" s="119" t="s">
        <v>14</v>
      </c>
      <c r="B34" s="133"/>
      <c r="C34" s="134">
        <f>SUM(C8:C33)</f>
        <v>48910409301</v>
      </c>
      <c r="D34" s="134">
        <f t="shared" ref="D34:F34" si="2">SUM(D8:D33)</f>
        <v>0</v>
      </c>
      <c r="E34" s="134">
        <f>SUM(E8:E33)</f>
        <v>3483777126</v>
      </c>
      <c r="F34" s="134">
        <f t="shared" si="2"/>
        <v>0</v>
      </c>
      <c r="G34" s="134">
        <f>SUM(G8:G33)</f>
        <v>7425634438</v>
      </c>
      <c r="H34" s="133"/>
      <c r="I34" s="135">
        <f>SUM(I8:I33)</f>
        <v>59819820865</v>
      </c>
      <c r="J34" s="133"/>
      <c r="K34" s="136"/>
      <c r="L34" s="133"/>
      <c r="M34" s="134">
        <f>SUM(M8:M33)</f>
        <v>48910409301</v>
      </c>
      <c r="N34" s="133"/>
      <c r="O34" s="122">
        <f>SUM(O8:O33)</f>
        <v>3483777126</v>
      </c>
      <c r="P34" s="133"/>
      <c r="Q34" s="134">
        <f>SUM(Q8:Q33)</f>
        <v>7425634438</v>
      </c>
      <c r="R34" s="134">
        <f>SUM(R8:R33)</f>
        <v>59819820865</v>
      </c>
      <c r="S34" s="133"/>
      <c r="T34" s="136"/>
      <c r="V34" s="141"/>
      <c r="W34" s="142"/>
      <c r="X34" s="142"/>
      <c r="Y34" s="142"/>
      <c r="Z34" s="144"/>
    </row>
    <row r="35" spans="1:26" ht="30" customHeight="1" thickTop="1">
      <c r="C35" s="131"/>
      <c r="E35" s="138"/>
      <c r="G35" s="131"/>
      <c r="I35" s="139"/>
      <c r="M35" s="129"/>
      <c r="O35" s="43"/>
      <c r="V35" s="143"/>
      <c r="W35" s="143"/>
      <c r="X35" s="143"/>
      <c r="Y35" s="143"/>
      <c r="Z35" s="143"/>
    </row>
    <row r="36" spans="1:26" ht="30" customHeight="1">
      <c r="G36" s="131"/>
      <c r="M36" s="129"/>
    </row>
    <row r="37" spans="1:26" ht="30" customHeight="1">
      <c r="G37" s="131"/>
      <c r="K37" s="132"/>
      <c r="M37" s="129"/>
      <c r="T37" s="132"/>
      <c r="W37" s="140"/>
    </row>
    <row r="38" spans="1:26" ht="30" customHeight="1">
      <c r="M38" s="132"/>
    </row>
    <row r="39" spans="1:26" ht="30" customHeight="1">
      <c r="M39" s="132"/>
    </row>
    <row r="40" spans="1:26" ht="30" customHeight="1">
      <c r="M40" s="131"/>
    </row>
    <row r="41" spans="1:26" ht="30" customHeight="1">
      <c r="K41" s="132"/>
      <c r="M41" s="133"/>
    </row>
  </sheetData>
  <autoFilter ref="A1:A37" xr:uid="{00000000-0001-0000-0800-000000000000}"/>
  <mergeCells count="13">
    <mergeCell ref="A1:T1"/>
    <mergeCell ref="A2:T2"/>
    <mergeCell ref="A3:T3"/>
    <mergeCell ref="A6:A7"/>
    <mergeCell ref="G6:G7"/>
    <mergeCell ref="E6:E7"/>
    <mergeCell ref="C6:C7"/>
    <mergeCell ref="M6:M7"/>
    <mergeCell ref="O6:O7"/>
    <mergeCell ref="Q6:Q7"/>
    <mergeCell ref="A4:T4"/>
    <mergeCell ref="C5:K5"/>
    <mergeCell ref="M5:T5"/>
  </mergeCells>
  <pageMargins left="0.39" right="0.39" top="0.39" bottom="0.39" header="0" footer="0"/>
  <pageSetup scale="6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  <pageSetUpPr fitToPage="1"/>
  </sheetPr>
  <dimension ref="A1:T11"/>
  <sheetViews>
    <sheetView rightToLeft="1" view="pageBreakPreview" zoomScaleNormal="100" zoomScaleSheetLayoutView="100" workbookViewId="0">
      <selection activeCell="J17" sqref="J17"/>
    </sheetView>
  </sheetViews>
  <sheetFormatPr defaultRowHeight="30" customHeight="1"/>
  <cols>
    <col min="1" max="1" width="5.140625" style="3" customWidth="1"/>
    <col min="2" max="2" width="40.28515625" style="3" customWidth="1"/>
    <col min="3" max="3" width="1.28515625" style="3" customWidth="1"/>
    <col min="4" max="4" width="19.42578125" style="3" customWidth="1"/>
    <col min="5" max="5" width="1.28515625" style="3" customWidth="1"/>
    <col min="6" max="6" width="16.7109375" style="3" customWidth="1"/>
    <col min="7" max="7" width="1.28515625" style="3" customWidth="1"/>
    <col min="8" max="8" width="19.42578125" style="3" customWidth="1"/>
    <col min="9" max="9" width="1.28515625" style="3" customWidth="1"/>
    <col min="10" max="10" width="18.5703125" style="3" customWidth="1"/>
    <col min="11" max="11" width="0.28515625" style="12" customWidth="1"/>
    <col min="12" max="15" width="9.140625" style="12"/>
    <col min="16" max="16" width="14.7109375" style="12" bestFit="1" customWidth="1"/>
    <col min="17" max="17" width="15" style="12" bestFit="1" customWidth="1"/>
    <col min="18" max="16384" width="9.140625" style="12"/>
  </cols>
  <sheetData>
    <row r="1" spans="1:20" ht="30" customHeight="1">
      <c r="A1" s="176" t="s">
        <v>100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20" ht="30" customHeight="1">
      <c r="A2" s="176" t="s">
        <v>85</v>
      </c>
      <c r="B2" s="176"/>
      <c r="C2" s="176"/>
      <c r="D2" s="176"/>
      <c r="E2" s="176"/>
      <c r="F2" s="176"/>
      <c r="G2" s="176"/>
      <c r="H2" s="176"/>
      <c r="I2" s="176"/>
      <c r="J2" s="176"/>
    </row>
    <row r="3" spans="1:20" ht="30" customHeight="1">
      <c r="A3" s="176" t="s">
        <v>144</v>
      </c>
      <c r="B3" s="176"/>
      <c r="C3" s="176"/>
      <c r="D3" s="176"/>
      <c r="E3" s="176"/>
      <c r="F3" s="176"/>
      <c r="G3" s="176"/>
      <c r="H3" s="176"/>
      <c r="I3" s="176"/>
      <c r="J3" s="176"/>
    </row>
    <row r="4" spans="1:20" ht="30" customHeight="1">
      <c r="A4" s="173" t="s">
        <v>92</v>
      </c>
      <c r="B4" s="189" t="s">
        <v>54</v>
      </c>
      <c r="C4" s="189"/>
      <c r="D4" s="189"/>
      <c r="E4" s="189"/>
      <c r="F4" s="189"/>
      <c r="G4" s="189"/>
      <c r="H4" s="189"/>
      <c r="I4" s="189"/>
      <c r="J4" s="189"/>
    </row>
    <row r="5" spans="1:20" ht="30" customHeight="1">
      <c r="A5" s="177"/>
      <c r="B5" s="177"/>
      <c r="D5" s="204" t="s">
        <v>48</v>
      </c>
      <c r="E5" s="204"/>
      <c r="F5" s="204"/>
      <c r="H5" s="204" t="s">
        <v>49</v>
      </c>
      <c r="I5" s="204"/>
      <c r="J5" s="204"/>
    </row>
    <row r="6" spans="1:20" ht="44.25" customHeight="1">
      <c r="A6" s="204" t="s">
        <v>55</v>
      </c>
      <c r="B6" s="204"/>
      <c r="D6" s="11" t="s">
        <v>56</v>
      </c>
      <c r="E6" s="4"/>
      <c r="F6" s="11" t="s">
        <v>57</v>
      </c>
      <c r="H6" s="11" t="s">
        <v>56</v>
      </c>
      <c r="I6" s="4"/>
      <c r="J6" s="11" t="s">
        <v>57</v>
      </c>
      <c r="Q6" s="27"/>
      <c r="T6" s="27"/>
    </row>
    <row r="7" spans="1:20" ht="30" customHeight="1">
      <c r="A7" s="205" t="s">
        <v>35</v>
      </c>
      <c r="B7" s="205"/>
      <c r="D7" s="5">
        <f>'سود سپرده بانکی'!G7</f>
        <v>14219</v>
      </c>
      <c r="F7" s="6"/>
      <c r="H7" s="5">
        <f>'سود سپرده بانکی'!M7</f>
        <v>14219</v>
      </c>
      <c r="J7" s="6"/>
      <c r="P7" s="27"/>
      <c r="Q7" s="27"/>
      <c r="T7" s="27"/>
    </row>
    <row r="8" spans="1:20" ht="30" customHeight="1">
      <c r="A8" s="178" t="s">
        <v>108</v>
      </c>
      <c r="B8" s="178"/>
      <c r="D8" s="7">
        <f>'سود سپرده بانکی'!G8</f>
        <v>10320</v>
      </c>
      <c r="E8" s="7"/>
      <c r="F8" s="7"/>
      <c r="G8" s="7"/>
      <c r="H8" s="7">
        <f>'سود سپرده بانکی'!M8</f>
        <v>10320</v>
      </c>
      <c r="J8" s="8"/>
      <c r="P8" s="27"/>
      <c r="Q8" s="27"/>
      <c r="T8" s="27"/>
    </row>
    <row r="9" spans="1:20" ht="30" customHeight="1">
      <c r="A9" s="178" t="s">
        <v>143</v>
      </c>
      <c r="B9" s="178"/>
      <c r="D9" s="74">
        <f>'سود سپرده بانکی'!G9</f>
        <v>46410</v>
      </c>
      <c r="F9" s="10"/>
      <c r="H9" s="9">
        <f>'سود سپرده بانکی'!M9</f>
        <v>46410</v>
      </c>
      <c r="J9" s="10"/>
    </row>
    <row r="10" spans="1:20" ht="30" customHeight="1" thickBot="1">
      <c r="A10" s="176" t="s">
        <v>14</v>
      </c>
      <c r="B10" s="176"/>
      <c r="D10" s="21">
        <f>SUM(D7:D9)</f>
        <v>70949</v>
      </c>
      <c r="E10" s="14"/>
      <c r="F10" s="21"/>
      <c r="G10" s="14"/>
      <c r="H10" s="21">
        <f>SUM(H7:H9)</f>
        <v>70949</v>
      </c>
      <c r="I10" s="14"/>
      <c r="J10" s="21"/>
      <c r="P10" s="27"/>
      <c r="Q10" s="27"/>
    </row>
    <row r="11" spans="1:20" ht="30" customHeight="1" thickTop="1">
      <c r="P11" s="27"/>
      <c r="Q11" s="27"/>
    </row>
  </sheetData>
  <mergeCells count="12">
    <mergeCell ref="A1:J1"/>
    <mergeCell ref="A2:J2"/>
    <mergeCell ref="A3:J3"/>
    <mergeCell ref="B4:J4"/>
    <mergeCell ref="D5:F5"/>
    <mergeCell ref="H5:J5"/>
    <mergeCell ref="A5:B5"/>
    <mergeCell ref="A10:B10"/>
    <mergeCell ref="A6:B6"/>
    <mergeCell ref="A7:B7"/>
    <mergeCell ref="A8:B8"/>
    <mergeCell ref="A9:B9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 مشتقه</vt:lpstr>
      <vt:lpstr>تعدیل قیمت</vt:lpstr>
      <vt:lpstr>سپرده</vt:lpstr>
      <vt:lpstr>سود سپرده بانکی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درآمد ناشی از تغییر قیمت اوراق</vt:lpstr>
      <vt:lpstr>درآمد ناشی از فروش  </vt:lpstr>
      <vt:lpstr>درآمد اعمال اختیار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  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Ayda Azimi</cp:lastModifiedBy>
  <cp:lastPrinted>2026-07-28T08:06:47Z</cp:lastPrinted>
  <dcterms:created xsi:type="dcterms:W3CDTF">2025-08-26T14:40:41Z</dcterms:created>
  <dcterms:modified xsi:type="dcterms:W3CDTF">2026-08-01T08:13:13Z</dcterms:modified>
</cp:coreProperties>
</file>